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et1.cec.eu.int\ECFIN\C\2\SUSTAINABILITY\EU Fiscal Framework - Technical guidance\Outputs\AF24\2024-12-09 preliminary prior guidance\ToShare\2024-12-12 - prior guidance - calculation sheets\"/>
    </mc:Choice>
  </mc:AlternateContent>
  <xr:revisionPtr revIDLastSave="0" documentId="13_ncr:1_{0EDB7B4F-9CDD-4210-B7AD-966E9FBF27A5}" xr6:coauthVersionLast="47" xr6:coauthVersionMax="47" xr10:uidLastSave="{00000000-0000-0000-0000-000000000000}"/>
  <bookViews>
    <workbookView xWindow="-28920" yWindow="-120" windowWidth="29040" windowHeight="15840" tabRatio="788" firstSheet="1" activeTab="1"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 name="FASTOP rep. no safeguard" sheetId="4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W102" i="21" s="1"/>
  <c r="V104" i="40"/>
  <c r="V102" i="21" s="1"/>
  <c r="U104" i="40"/>
  <c r="T104" i="40"/>
  <c r="S104" i="40"/>
  <c r="R104" i="40"/>
  <c r="Q104" i="40"/>
  <c r="P104" i="40"/>
  <c r="O104" i="40"/>
  <c r="N104" i="40"/>
  <c r="M104" i="40"/>
  <c r="L104" i="40"/>
  <c r="L102" i="21" s="1"/>
  <c r="K104" i="40"/>
  <c r="K102" i="21" s="1"/>
  <c r="J104" i="40"/>
  <c r="J102" i="21" s="1"/>
  <c r="I104" i="40"/>
  <c r="I102" i="21" s="1"/>
  <c r="H104" i="40"/>
  <c r="H102" i="21" s="1"/>
  <c r="G104" i="40"/>
  <c r="G102" i="21" s="1"/>
  <c r="F104" i="40"/>
  <c r="F102" i="21" s="1"/>
  <c r="C7" i="40"/>
  <c r="C6" i="40"/>
  <c r="C6" i="8"/>
  <c r="C6" i="9"/>
  <c r="U102" i="21"/>
  <c r="T102" i="21"/>
  <c r="S102" i="21"/>
  <c r="R102" i="21"/>
  <c r="Q102" i="21"/>
  <c r="P102" i="21"/>
  <c r="O102" i="21"/>
  <c r="N102" i="21"/>
  <c r="M102" i="21"/>
  <c r="B59" i="49" l="1"/>
  <c r="B60" i="49" s="1"/>
  <c r="B61" i="49" s="1"/>
  <c r="B62" i="49" s="1"/>
  <c r="G57" i="49"/>
  <c r="H57" i="49" s="1"/>
  <c r="I57" i="49" s="1"/>
  <c r="J57" i="49" s="1"/>
  <c r="K57" i="49" s="1"/>
  <c r="L57" i="49" s="1"/>
  <c r="M57" i="49" s="1"/>
  <c r="N57" i="49" s="1"/>
  <c r="O57" i="49" s="1"/>
  <c r="P57" i="49" s="1"/>
  <c r="Q57" i="49" s="1"/>
  <c r="R57" i="49" s="1"/>
  <c r="S57" i="49" s="1"/>
  <c r="T57" i="49" s="1"/>
  <c r="U57" i="49" s="1"/>
  <c r="V57" i="49" s="1"/>
  <c r="W57" i="49" s="1"/>
  <c r="X57" i="49" s="1"/>
  <c r="F57" i="49"/>
  <c r="F53" i="49"/>
  <c r="F40" i="49"/>
  <c r="G40" i="49" s="1"/>
  <c r="H40" i="49" s="1"/>
  <c r="I40" i="49" s="1"/>
  <c r="J40" i="49" s="1"/>
  <c r="K40" i="49" s="1"/>
  <c r="L40" i="49" s="1"/>
  <c r="M40" i="49" s="1"/>
  <c r="N40" i="49" s="1"/>
  <c r="O40" i="49" s="1"/>
  <c r="P40" i="49" s="1"/>
  <c r="Q40" i="49" s="1"/>
  <c r="R40" i="49" s="1"/>
  <c r="S40" i="49" s="1"/>
  <c r="T40" i="49" s="1"/>
  <c r="U40" i="49" s="1"/>
  <c r="V40" i="49" s="1"/>
  <c r="W40" i="49" s="1"/>
  <c r="X40" i="49" s="1"/>
  <c r="E29" i="49"/>
  <c r="E26" i="49"/>
  <c r="E22" i="49"/>
  <c r="F4" i="49"/>
  <c r="E4" i="49"/>
  <c r="G4" i="49" l="1"/>
  <c r="H4" i="49" l="1"/>
  <c r="I4" i="49" l="1"/>
  <c r="J4" i="49" l="1"/>
  <c r="K4" i="49" l="1"/>
  <c r="L4" i="49" l="1"/>
  <c r="M4" i="49" l="1"/>
  <c r="N4" i="49" l="1"/>
  <c r="O4" i="49" l="1"/>
  <c r="P4" i="49" l="1"/>
  <c r="Q4" i="49" l="1"/>
  <c r="R4" i="49" l="1"/>
  <c r="S4" i="49" l="1"/>
  <c r="T4" i="49" l="1"/>
  <c r="U4" i="49" l="1"/>
  <c r="V4" i="49" l="1"/>
  <c r="W4" i="49" l="1"/>
  <c r="X4" i="49" l="1"/>
  <c r="F53" i="44" l="1"/>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9" l="1"/>
  <c r="E35" i="44" l="1"/>
  <c r="C47" i="40"/>
  <c r="B17" i="40"/>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F99" i="9" l="1"/>
  <c r="G99" i="9"/>
  <c r="B17" i="21" l="1"/>
  <c r="B16" i="9"/>
  <c r="H35" i="9" l="1"/>
  <c r="Q23" i="9"/>
  <c r="R50" i="49" s="1"/>
  <c r="R23" i="9"/>
  <c r="S50" i="49" s="1"/>
  <c r="S23" i="9"/>
  <c r="T50" i="49" s="1"/>
  <c r="T23" i="9"/>
  <c r="U50" i="49" s="1"/>
  <c r="U23" i="9"/>
  <c r="V50" i="49" s="1"/>
  <c r="V23" i="9"/>
  <c r="W50" i="49" s="1"/>
  <c r="W23" i="9"/>
  <c r="X50" i="49" s="1"/>
  <c r="I23" i="9"/>
  <c r="J50" i="49" s="1"/>
  <c r="J23" i="9"/>
  <c r="K50" i="49" s="1"/>
  <c r="K23" i="9"/>
  <c r="L50" i="49" s="1"/>
  <c r="L23" i="9"/>
  <c r="M50" i="49" s="1"/>
  <c r="N23" i="9"/>
  <c r="O50" i="49" s="1"/>
  <c r="P23" i="9"/>
  <c r="Q50" i="49" s="1"/>
  <c r="M23" i="9"/>
  <c r="N50" i="49" s="1"/>
  <c r="O23" i="9"/>
  <c r="P50" i="49" s="1"/>
  <c r="E42" i="40"/>
  <c r="F17" i="49" s="1"/>
  <c r="C19" i="40"/>
  <c r="Q72" i="40"/>
  <c r="F15" i="40"/>
  <c r="F73" i="40" s="1"/>
  <c r="C57" i="40"/>
  <c r="D42" i="40"/>
  <c r="P72" i="40"/>
  <c r="U15" i="40"/>
  <c r="U73" i="40" s="1"/>
  <c r="E15" i="40"/>
  <c r="E73" i="40" s="1"/>
  <c r="O72" i="40"/>
  <c r="D15" i="40"/>
  <c r="D73" i="40" s="1"/>
  <c r="N72" i="40"/>
  <c r="C15" i="40"/>
  <c r="M72" i="40"/>
  <c r="Q15" i="40"/>
  <c r="Q73" i="40" s="1"/>
  <c r="F14" i="40"/>
  <c r="O15" i="40"/>
  <c r="O73" i="40" s="1"/>
  <c r="D14" i="40"/>
  <c r="D63" i="40" s="1"/>
  <c r="N15" i="40"/>
  <c r="N73" i="40" s="1"/>
  <c r="I19" i="40"/>
  <c r="C24" i="40"/>
  <c r="F36" i="40"/>
  <c r="G13" i="49" s="1"/>
  <c r="U72" i="40"/>
  <c r="C12" i="40"/>
  <c r="E36" i="40"/>
  <c r="F13" i="49" s="1"/>
  <c r="C42" i="40"/>
  <c r="T15" i="40"/>
  <c r="T73" i="40" s="1"/>
  <c r="G37" i="40"/>
  <c r="H11" i="49" s="1"/>
  <c r="S15" i="40"/>
  <c r="S73" i="40" s="1"/>
  <c r="F37" i="40"/>
  <c r="G11" i="49" s="1"/>
  <c r="R15" i="40"/>
  <c r="R73" i="40" s="1"/>
  <c r="G14" i="40"/>
  <c r="E37" i="40"/>
  <c r="F11" i="49" s="1"/>
  <c r="L72" i="40"/>
  <c r="J19" i="40"/>
  <c r="M15" i="40"/>
  <c r="M73" i="40" s="1"/>
  <c r="L15" i="40"/>
  <c r="L73" i="40" s="1"/>
  <c r="V72" i="40"/>
  <c r="D12" i="40"/>
  <c r="G19" i="40"/>
  <c r="J15" i="40"/>
  <c r="J73" i="40" s="1"/>
  <c r="F19" i="40"/>
  <c r="D37" i="40"/>
  <c r="K72" i="40"/>
  <c r="P15" i="40"/>
  <c r="P73" i="40" s="1"/>
  <c r="E14" i="40"/>
  <c r="J72" i="40"/>
  <c r="I72" i="40"/>
  <c r="C14" i="40"/>
  <c r="H72" i="40"/>
  <c r="D38" i="40"/>
  <c r="W72" i="40"/>
  <c r="H19" i="40"/>
  <c r="K15" i="40"/>
  <c r="K73" i="40" s="1"/>
  <c r="E72" i="40"/>
  <c r="F14" i="49" s="1"/>
  <c r="C48" i="40"/>
  <c r="F42" i="40"/>
  <c r="G17" i="49" s="1"/>
  <c r="D36" i="40"/>
  <c r="C36" i="40"/>
  <c r="E19" i="40"/>
  <c r="R72" i="40"/>
  <c r="D71" i="9"/>
  <c r="W15" i="40"/>
  <c r="W73" i="40" s="1"/>
  <c r="I15" i="40"/>
  <c r="I73" i="40" s="1"/>
  <c r="T72" i="40"/>
  <c r="S72" i="40"/>
  <c r="D19" i="40"/>
  <c r="H15" i="40"/>
  <c r="H73" i="40" s="1"/>
  <c r="D79" i="40"/>
  <c r="C3" i="40"/>
  <c r="P13" i="9" l="1"/>
  <c r="P14" i="40"/>
  <c r="P14" i="21"/>
  <c r="W13" i="9"/>
  <c r="W14" i="40"/>
  <c r="W14" i="21"/>
  <c r="T13" i="9"/>
  <c r="T14" i="40"/>
  <c r="T14" i="21"/>
  <c r="H13" i="9"/>
  <c r="H62" i="9" s="1"/>
  <c r="H14" i="40"/>
  <c r="H14" i="21"/>
  <c r="J13" i="9"/>
  <c r="J14" i="21"/>
  <c r="J14" i="40"/>
  <c r="K13" i="9"/>
  <c r="K14" i="40"/>
  <c r="K14" i="21"/>
  <c r="Q13" i="9"/>
  <c r="Q14" i="21"/>
  <c r="Q14" i="40"/>
  <c r="V13" i="9"/>
  <c r="V14" i="21"/>
  <c r="V14" i="40"/>
  <c r="R13" i="9"/>
  <c r="R14" i="21"/>
  <c r="R14" i="40"/>
  <c r="O13" i="9"/>
  <c r="O14" i="40"/>
  <c r="O14" i="21"/>
  <c r="L13" i="9"/>
  <c r="L14" i="40"/>
  <c r="L14" i="21"/>
  <c r="M9" i="44" s="1"/>
  <c r="U13" i="9"/>
  <c r="U14" i="40"/>
  <c r="U14" i="21"/>
  <c r="I13" i="9"/>
  <c r="I14" i="21"/>
  <c r="I14" i="40"/>
  <c r="M13" i="9"/>
  <c r="M14" i="21"/>
  <c r="M14" i="40"/>
  <c r="S13" i="9"/>
  <c r="S14" i="40"/>
  <c r="S14" i="21"/>
  <c r="N13" i="9"/>
  <c r="N14" i="40"/>
  <c r="N14" i="21"/>
  <c r="H23" i="9"/>
  <c r="I50" i="49" s="1"/>
  <c r="H98" i="9"/>
  <c r="J14" i="49"/>
  <c r="U14" i="49"/>
  <c r="S14" i="49"/>
  <c r="X14" i="49"/>
  <c r="N14" i="49"/>
  <c r="P14" i="49"/>
  <c r="K14" i="49"/>
  <c r="W14" i="49"/>
  <c r="M14" i="49"/>
  <c r="Q14" i="49"/>
  <c r="R14" i="49"/>
  <c r="I14" i="49"/>
  <c r="E63" i="40"/>
  <c r="F9" i="49"/>
  <c r="F63" i="40"/>
  <c r="G9" i="49"/>
  <c r="O14" i="49"/>
  <c r="L14" i="49"/>
  <c r="V14" i="49"/>
  <c r="T14" i="49"/>
  <c r="G63" i="40"/>
  <c r="H9" i="49"/>
  <c r="P37" i="9"/>
  <c r="Q47" i="49" s="1"/>
  <c r="H38" i="40"/>
  <c r="I12" i="49" s="1"/>
  <c r="H37" i="40"/>
  <c r="I11" i="49" s="1"/>
  <c r="H41" i="9"/>
  <c r="I51" i="49" s="1"/>
  <c r="H42" i="21"/>
  <c r="H42" i="40"/>
  <c r="I17" i="49" s="1"/>
  <c r="H37" i="9"/>
  <c r="I47" i="49" s="1"/>
  <c r="H38" i="21"/>
  <c r="H36" i="9"/>
  <c r="I46" i="49" s="1"/>
  <c r="H37" i="21"/>
  <c r="D50" i="40"/>
  <c r="E51" i="40" s="1"/>
  <c r="P41" i="9"/>
  <c r="P36" i="9"/>
  <c r="Q46" i="49" s="1"/>
  <c r="C27" i="40"/>
  <c r="D27" i="40" s="1"/>
  <c r="E27" i="40" s="1"/>
  <c r="C23" i="40"/>
  <c r="F79" i="40"/>
  <c r="E79" i="40"/>
  <c r="V15" i="40"/>
  <c r="V73" i="40" s="1"/>
  <c r="V74" i="40" s="1"/>
  <c r="E12" i="40"/>
  <c r="D79" i="21"/>
  <c r="D78" i="9"/>
  <c r="L74" i="40"/>
  <c r="F79" i="21"/>
  <c r="F78" i="9"/>
  <c r="E79" i="21"/>
  <c r="E78" i="9"/>
  <c r="W74" i="40"/>
  <c r="K19" i="40"/>
  <c r="K65" i="40"/>
  <c r="L19" i="40"/>
  <c r="L65" i="40"/>
  <c r="C33" i="40"/>
  <c r="M19" i="40"/>
  <c r="M65" i="40"/>
  <c r="E74" i="40"/>
  <c r="R74" i="40"/>
  <c r="U74" i="40"/>
  <c r="H74" i="40"/>
  <c r="D72" i="40"/>
  <c r="D74" i="40" s="1"/>
  <c r="I74" i="40"/>
  <c r="S74" i="40"/>
  <c r="P19" i="40"/>
  <c r="P65" i="40"/>
  <c r="G14" i="9"/>
  <c r="G15" i="40"/>
  <c r="G73" i="40" s="1"/>
  <c r="G36" i="40"/>
  <c r="H13" i="49" s="1"/>
  <c r="M74" i="40"/>
  <c r="F12" i="21"/>
  <c r="F12" i="40"/>
  <c r="R19" i="40"/>
  <c r="R65" i="40"/>
  <c r="W19" i="40"/>
  <c r="W65" i="40"/>
  <c r="F71" i="9"/>
  <c r="F72" i="40"/>
  <c r="G14" i="49" s="1"/>
  <c r="K74" i="40"/>
  <c r="S19" i="40"/>
  <c r="S65" i="40"/>
  <c r="G23" i="9"/>
  <c r="N19" i="40"/>
  <c r="N65" i="40"/>
  <c r="U19" i="40"/>
  <c r="U65" i="40"/>
  <c r="P74" i="40"/>
  <c r="V19" i="40"/>
  <c r="V65" i="40"/>
  <c r="E37" i="9"/>
  <c r="E38" i="40"/>
  <c r="F12" i="49" s="1"/>
  <c r="F37" i="9"/>
  <c r="F38" i="40"/>
  <c r="G12" i="49" s="1"/>
  <c r="Q19" i="40"/>
  <c r="Q65" i="40"/>
  <c r="G71" i="9"/>
  <c r="G72" i="40"/>
  <c r="G37" i="9"/>
  <c r="G38" i="40"/>
  <c r="H12" i="49" s="1"/>
  <c r="D60" i="40"/>
  <c r="Q74" i="40"/>
  <c r="J74" i="40"/>
  <c r="T19" i="40"/>
  <c r="T65" i="40"/>
  <c r="G42" i="40"/>
  <c r="H17" i="49" s="1"/>
  <c r="O19" i="40"/>
  <c r="O65" i="40"/>
  <c r="T74" i="40"/>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38" i="21"/>
  <c r="H12" i="44" s="1"/>
  <c r="E37" i="21"/>
  <c r="F11" i="44" s="1"/>
  <c r="E36" i="9"/>
  <c r="E38" i="21"/>
  <c r="F12" i="44" s="1"/>
  <c r="D38" i="21"/>
  <c r="F38" i="21"/>
  <c r="G12" i="44" s="1"/>
  <c r="G36" i="9"/>
  <c r="G37" i="21"/>
  <c r="H11" i="44" s="1"/>
  <c r="D37" i="21"/>
  <c r="G35" i="9"/>
  <c r="H48" i="49" s="1"/>
  <c r="G42" i="21"/>
  <c r="G41" i="9"/>
  <c r="H51" i="49" s="1"/>
  <c r="G15" i="21"/>
  <c r="G14" i="21"/>
  <c r="H9" i="44" s="1"/>
  <c r="G13" i="9"/>
  <c r="G36" i="21"/>
  <c r="C5" i="9"/>
  <c r="G7" i="49" l="1"/>
  <c r="G12" i="40"/>
  <c r="H12" i="40" s="1"/>
  <c r="I12" i="40" s="1"/>
  <c r="J12" i="40" s="1"/>
  <c r="K12" i="40" s="1"/>
  <c r="L12" i="40" s="1"/>
  <c r="M12" i="40" s="1"/>
  <c r="M9" i="49"/>
  <c r="L63" i="40"/>
  <c r="W9" i="49"/>
  <c r="V63" i="40"/>
  <c r="L9" i="49"/>
  <c r="K63" i="40"/>
  <c r="J9" i="49"/>
  <c r="I63" i="40"/>
  <c r="K9" i="49"/>
  <c r="J63" i="40"/>
  <c r="O9" i="49"/>
  <c r="N63" i="40"/>
  <c r="X9" i="49"/>
  <c r="W63" i="40"/>
  <c r="T9" i="49"/>
  <c r="S63" i="40"/>
  <c r="P9" i="49"/>
  <c r="O63" i="40"/>
  <c r="R9" i="49"/>
  <c r="Q63" i="40"/>
  <c r="V9" i="49"/>
  <c r="U63" i="40"/>
  <c r="I9" i="49"/>
  <c r="H63" i="40"/>
  <c r="S9" i="49"/>
  <c r="R63" i="40"/>
  <c r="Q9" i="49"/>
  <c r="P63" i="40"/>
  <c r="N9" i="49"/>
  <c r="M63" i="40"/>
  <c r="U9" i="49"/>
  <c r="T63" i="40"/>
  <c r="Q41" i="9"/>
  <c r="R51" i="49" s="1"/>
  <c r="W41" i="9"/>
  <c r="V41" i="9"/>
  <c r="U41" i="9"/>
  <c r="T41" i="9"/>
  <c r="S41" i="9"/>
  <c r="R41" i="9"/>
  <c r="H32" i="9"/>
  <c r="H47" i="44"/>
  <c r="H47" i="49"/>
  <c r="H50" i="44"/>
  <c r="H50" i="49"/>
  <c r="H14" i="49"/>
  <c r="F46" i="44"/>
  <c r="F46" i="49"/>
  <c r="H46" i="44"/>
  <c r="H46" i="49"/>
  <c r="G47" i="44"/>
  <c r="G47" i="49"/>
  <c r="F47" i="44"/>
  <c r="F47" i="49"/>
  <c r="G46" i="44"/>
  <c r="G46" i="49"/>
  <c r="Q51" i="49"/>
  <c r="E52" i="40"/>
  <c r="F7" i="49"/>
  <c r="F27" i="40"/>
  <c r="F15" i="49"/>
  <c r="I37" i="9"/>
  <c r="J37" i="9" s="1"/>
  <c r="W36" i="9"/>
  <c r="X46" i="49" s="1"/>
  <c r="V36" i="9"/>
  <c r="W46" i="49" s="1"/>
  <c r="U36" i="9"/>
  <c r="V46" i="49" s="1"/>
  <c r="T36" i="9"/>
  <c r="U46" i="49" s="1"/>
  <c r="S36" i="9"/>
  <c r="T46" i="49" s="1"/>
  <c r="R36" i="9"/>
  <c r="S46" i="49" s="1"/>
  <c r="W37" i="9"/>
  <c r="X47" i="49" s="1"/>
  <c r="V37" i="9"/>
  <c r="W47" i="49" s="1"/>
  <c r="U37" i="9"/>
  <c r="V47" i="49" s="1"/>
  <c r="T37" i="9"/>
  <c r="U47" i="49" s="1"/>
  <c r="S37" i="9"/>
  <c r="T47" i="49" s="1"/>
  <c r="R37" i="9"/>
  <c r="S47" i="49" s="1"/>
  <c r="P42" i="40"/>
  <c r="Q17" i="49" s="1"/>
  <c r="J41" i="9"/>
  <c r="K51" i="49" s="1"/>
  <c r="P42" i="21"/>
  <c r="E50" i="40"/>
  <c r="O41" i="9"/>
  <c r="L41" i="9"/>
  <c r="M51" i="49" s="1"/>
  <c r="M41" i="9"/>
  <c r="N51" i="49" s="1"/>
  <c r="K41" i="9"/>
  <c r="L51" i="49" s="1"/>
  <c r="N41" i="9"/>
  <c r="O51" i="49" s="1"/>
  <c r="C30" i="40"/>
  <c r="H48" i="44"/>
  <c r="F74" i="40"/>
  <c r="H13" i="44"/>
  <c r="E60" i="40"/>
  <c r="G7" i="44"/>
  <c r="H17" i="44"/>
  <c r="I41" i="9"/>
  <c r="J51" i="49" s="1"/>
  <c r="H51" i="44"/>
  <c r="Q51" i="44"/>
  <c r="H64" i="9"/>
  <c r="F60" i="40"/>
  <c r="F52" i="40"/>
  <c r="G74" i="40"/>
  <c r="G98" i="9"/>
  <c r="F63" i="9"/>
  <c r="F64" i="9"/>
  <c r="Q37" i="9"/>
  <c r="R47" i="49" s="1"/>
  <c r="Q36" i="9"/>
  <c r="G32" i="9"/>
  <c r="D23" i="9"/>
  <c r="D24" i="40" s="1"/>
  <c r="E23" i="9"/>
  <c r="F50" i="49" s="1"/>
  <c r="F23" i="9"/>
  <c r="G50" i="49" s="1"/>
  <c r="C3" i="9"/>
  <c r="I9" i="44"/>
  <c r="J9" i="44"/>
  <c r="K9" i="44"/>
  <c r="L9" i="44"/>
  <c r="N9" i="44"/>
  <c r="O9" i="44"/>
  <c r="P9" i="44"/>
  <c r="Q9" i="44"/>
  <c r="R9" i="44"/>
  <c r="S9" i="44"/>
  <c r="T9" i="44"/>
  <c r="U9" i="44"/>
  <c r="V9" i="44"/>
  <c r="W9" i="44"/>
  <c r="X9" i="44"/>
  <c r="R51" i="44" l="1"/>
  <c r="Q42" i="40"/>
  <c r="R17" i="49" s="1"/>
  <c r="I38" i="21"/>
  <c r="P51" i="49"/>
  <c r="J38" i="40"/>
  <c r="K12" i="49" s="1"/>
  <c r="K47" i="49"/>
  <c r="H52" i="44"/>
  <c r="H52" i="49"/>
  <c r="I38" i="40"/>
  <c r="J12" i="49" s="1"/>
  <c r="J47" i="49"/>
  <c r="R46" i="44"/>
  <c r="R46" i="49"/>
  <c r="G27" i="40"/>
  <c r="G15" i="49"/>
  <c r="F50" i="40"/>
  <c r="G51" i="40" s="1"/>
  <c r="F51" i="40"/>
  <c r="O42" i="21"/>
  <c r="O42" i="40"/>
  <c r="P17" i="49" s="1"/>
  <c r="K37" i="9"/>
  <c r="J38" i="21"/>
  <c r="P51" i="44"/>
  <c r="W51" i="49"/>
  <c r="U51" i="49"/>
  <c r="V51" i="49"/>
  <c r="S51" i="49"/>
  <c r="T51" i="49"/>
  <c r="X51" i="49"/>
  <c r="P38" i="9"/>
  <c r="P39" i="40" s="1"/>
  <c r="O51" i="44"/>
  <c r="J38" i="9"/>
  <c r="C43" i="40"/>
  <c r="D39" i="40"/>
  <c r="C39" i="40"/>
  <c r="G43" i="40"/>
  <c r="E43" i="40"/>
  <c r="D43" i="40"/>
  <c r="F43" i="40"/>
  <c r="P37" i="40"/>
  <c r="Q11" i="49" s="1"/>
  <c r="Q46" i="44"/>
  <c r="I47" i="44"/>
  <c r="P38" i="40"/>
  <c r="Q12" i="49" s="1"/>
  <c r="Q47" i="44"/>
  <c r="Q38" i="40"/>
  <c r="R12" i="49" s="1"/>
  <c r="R47" i="44"/>
  <c r="I42" i="40"/>
  <c r="J17" i="49" s="1"/>
  <c r="J51" i="44"/>
  <c r="F24" i="40"/>
  <c r="G50" i="44"/>
  <c r="M42" i="40"/>
  <c r="N17" i="49" s="1"/>
  <c r="N51" i="44"/>
  <c r="L42" i="40"/>
  <c r="M17" i="49" s="1"/>
  <c r="M51" i="44"/>
  <c r="K42" i="40"/>
  <c r="L17" i="49" s="1"/>
  <c r="L51" i="44"/>
  <c r="E24" i="40"/>
  <c r="F50" i="44"/>
  <c r="J42" i="40"/>
  <c r="K17" i="49" s="1"/>
  <c r="K51" i="44"/>
  <c r="I51" i="44"/>
  <c r="D33" i="40"/>
  <c r="D68" i="40" s="1"/>
  <c r="N42" i="40"/>
  <c r="O17" i="49" s="1"/>
  <c r="Q37" i="21"/>
  <c r="R11" i="44" s="1"/>
  <c r="Q37" i="40"/>
  <c r="R11" i="49" s="1"/>
  <c r="G96" i="9"/>
  <c r="V38" i="9"/>
  <c r="V39" i="40" s="1"/>
  <c r="W38" i="9"/>
  <c r="W39" i="40" s="1"/>
  <c r="U38" i="9"/>
  <c r="P37" i="21"/>
  <c r="Q11" i="44" s="1"/>
  <c r="N42" i="21"/>
  <c r="E24" i="21"/>
  <c r="F16" i="44" s="1"/>
  <c r="F24" i="21"/>
  <c r="D24" i="21"/>
  <c r="E33" i="40" l="1"/>
  <c r="F18" i="49" s="1"/>
  <c r="F16" i="49"/>
  <c r="F33" i="40"/>
  <c r="G18" i="49" s="1"/>
  <c r="G16" i="49"/>
  <c r="K38" i="40"/>
  <c r="L47" i="49"/>
  <c r="H27" i="40"/>
  <c r="H15" i="49"/>
  <c r="L37" i="9"/>
  <c r="K38" i="21"/>
  <c r="W42" i="40"/>
  <c r="X17" i="49" s="1"/>
  <c r="X51" i="44"/>
  <c r="S42" i="40"/>
  <c r="T17" i="49" s="1"/>
  <c r="T51" i="44"/>
  <c r="R42" i="40"/>
  <c r="S17" i="49" s="1"/>
  <c r="S51" i="44"/>
  <c r="U42" i="40"/>
  <c r="V17" i="49" s="1"/>
  <c r="V51" i="44"/>
  <c r="T42" i="40"/>
  <c r="U17" i="49" s="1"/>
  <c r="U51" i="44"/>
  <c r="V42" i="40"/>
  <c r="W17" i="49" s="1"/>
  <c r="W51" i="44"/>
  <c r="P17" i="44"/>
  <c r="I38" i="9"/>
  <c r="I39" i="40" s="1"/>
  <c r="H38" i="9"/>
  <c r="H39" i="40" s="1"/>
  <c r="O38" i="9"/>
  <c r="O39" i="40" s="1"/>
  <c r="N38" i="9"/>
  <c r="N39" i="40" s="1"/>
  <c r="M38" i="9"/>
  <c r="M39" i="40" s="1"/>
  <c r="L38" i="9"/>
  <c r="L39" i="40" s="1"/>
  <c r="K38" i="9"/>
  <c r="K39" i="40" s="1"/>
  <c r="G38" i="9"/>
  <c r="G39" i="40" s="1"/>
  <c r="G16" i="44"/>
  <c r="I17" i="44"/>
  <c r="J47" i="44"/>
  <c r="O17" i="44"/>
  <c r="J12" i="44"/>
  <c r="G101" i="40"/>
  <c r="G101" i="9"/>
  <c r="D69" i="40"/>
  <c r="H43" i="21"/>
  <c r="H43"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L38" i="40" l="1"/>
  <c r="M47" i="49"/>
  <c r="I27" i="40"/>
  <c r="I15" i="49"/>
  <c r="G52" i="40"/>
  <c r="H7" i="49"/>
  <c r="L12" i="49"/>
  <c r="M37" i="9"/>
  <c r="L38" i="21"/>
  <c r="G79" i="40"/>
  <c r="K47" i="44"/>
  <c r="K12" i="44"/>
  <c r="G60" i="40"/>
  <c r="G25" i="35"/>
  <c r="G13" i="40"/>
  <c r="J39" i="21"/>
  <c r="J39" i="40"/>
  <c r="M12" i="49" l="1"/>
  <c r="M38" i="40"/>
  <c r="N47" i="49"/>
  <c r="H52" i="40"/>
  <c r="I7" i="49"/>
  <c r="J27" i="40"/>
  <c r="J15" i="49"/>
  <c r="N37" i="9"/>
  <c r="M38" i="21"/>
  <c r="H79" i="40"/>
  <c r="H60" i="40"/>
  <c r="H25" i="35"/>
  <c r="H13" i="40"/>
  <c r="L47" i="44"/>
  <c r="L12" i="44"/>
  <c r="S38" i="9"/>
  <c r="S39" i="40" s="1"/>
  <c r="Q38" i="9"/>
  <c r="Q39" i="40" s="1"/>
  <c r="R38" i="9"/>
  <c r="R39" i="40" s="1"/>
  <c r="T38" i="9"/>
  <c r="C36" i="21"/>
  <c r="D35" i="9"/>
  <c r="D36" i="21"/>
  <c r="E36" i="21"/>
  <c r="F13" i="44" s="1"/>
  <c r="F36" i="21"/>
  <c r="C12" i="21"/>
  <c r="C12" i="9"/>
  <c r="D12" i="21"/>
  <c r="D12" i="9"/>
  <c r="E12" i="21"/>
  <c r="E12" i="9"/>
  <c r="F43" i="49" s="1"/>
  <c r="F12" i="9"/>
  <c r="G43" i="49" s="1"/>
  <c r="N12" i="49" l="1"/>
  <c r="N38" i="40"/>
  <c r="O47" i="49"/>
  <c r="K27" i="40"/>
  <c r="K15" i="49"/>
  <c r="I52" i="40"/>
  <c r="J7" i="49"/>
  <c r="O37" i="9"/>
  <c r="N38" i="21"/>
  <c r="I79" i="40"/>
  <c r="G13" i="44"/>
  <c r="I13" i="40"/>
  <c r="I60" i="40"/>
  <c r="I25" i="35"/>
  <c r="F43" i="44"/>
  <c r="F7" i="44"/>
  <c r="D49" i="9"/>
  <c r="E49" i="9" s="1"/>
  <c r="F49" i="9" s="1"/>
  <c r="G43" i="44"/>
  <c r="M47" i="44"/>
  <c r="M12" i="44"/>
  <c r="T39" i="21"/>
  <c r="T39" i="40"/>
  <c r="D96" i="9"/>
  <c r="G12" i="9"/>
  <c r="H43" i="49" s="1"/>
  <c r="C35" i="9"/>
  <c r="C96" i="9" s="1"/>
  <c r="O12" i="49" l="1"/>
  <c r="O38" i="40"/>
  <c r="P47" i="49"/>
  <c r="J52" i="40"/>
  <c r="K7" i="49"/>
  <c r="L27" i="40"/>
  <c r="L15" i="49"/>
  <c r="O38" i="21"/>
  <c r="P47" i="44"/>
  <c r="J79" i="40"/>
  <c r="D81" i="40" s="1"/>
  <c r="G78" i="9"/>
  <c r="G49" i="9"/>
  <c r="G50" i="40"/>
  <c r="J27" i="35"/>
  <c r="J13" i="40"/>
  <c r="J60" i="40"/>
  <c r="J25" i="35"/>
  <c r="H43" i="44"/>
  <c r="O47" i="44"/>
  <c r="N47" i="44"/>
  <c r="N12" i="44"/>
  <c r="C101" i="40"/>
  <c r="C106" i="40" s="1"/>
  <c r="D101" i="40"/>
  <c r="D106" i="40" s="1"/>
  <c r="H12" i="9"/>
  <c r="I43" i="49" s="1"/>
  <c r="P12" i="49" l="1"/>
  <c r="K52" i="40"/>
  <c r="L7" i="49"/>
  <c r="M27" i="40"/>
  <c r="M15" i="49"/>
  <c r="S47" i="44"/>
  <c r="R38" i="40"/>
  <c r="S12" i="49" s="1"/>
  <c r="T38" i="40"/>
  <c r="U12" i="49" s="1"/>
  <c r="U47" i="44"/>
  <c r="S38" i="40"/>
  <c r="T12" i="49" s="1"/>
  <c r="T47" i="44"/>
  <c r="U38" i="40"/>
  <c r="V12" i="49" s="1"/>
  <c r="V47" i="44"/>
  <c r="W38" i="40"/>
  <c r="X12" i="49" s="1"/>
  <c r="X47" i="44"/>
  <c r="V38" i="40"/>
  <c r="W12" i="49" s="1"/>
  <c r="W47" i="44"/>
  <c r="P12" i="44"/>
  <c r="I12" i="44"/>
  <c r="K79" i="40"/>
  <c r="H78" i="9"/>
  <c r="H49" i="9"/>
  <c r="H50" i="40"/>
  <c r="K13" i="40"/>
  <c r="K25" i="35"/>
  <c r="K60" i="40"/>
  <c r="H59" i="9"/>
  <c r="I43" i="44"/>
  <c r="O12" i="44"/>
  <c r="I12" i="9"/>
  <c r="J43" i="49" s="1"/>
  <c r="C47" i="21"/>
  <c r="C46" i="9"/>
  <c r="N27" i="40" l="1"/>
  <c r="N15" i="49"/>
  <c r="L52" i="40"/>
  <c r="M7" i="49"/>
  <c r="L79" i="40"/>
  <c r="I78" i="9"/>
  <c r="I50" i="40"/>
  <c r="I49" i="9"/>
  <c r="L13" i="40"/>
  <c r="L60" i="40"/>
  <c r="L25" i="35"/>
  <c r="J12" i="9"/>
  <c r="K43" i="49" s="1"/>
  <c r="J43" i="44"/>
  <c r="F51" i="9"/>
  <c r="G51" i="9"/>
  <c r="H51" i="9"/>
  <c r="D50" i="9"/>
  <c r="B18" i="9"/>
  <c r="M52" i="40" l="1"/>
  <c r="N7" i="49"/>
  <c r="O27" i="40"/>
  <c r="O15" i="49"/>
  <c r="J49" i="9"/>
  <c r="M79" i="40"/>
  <c r="J78" i="9"/>
  <c r="J50" i="40"/>
  <c r="M13" i="40"/>
  <c r="M25" i="35"/>
  <c r="M60" i="40"/>
  <c r="M27" i="35"/>
  <c r="N12" i="40"/>
  <c r="O7" i="49" s="1"/>
  <c r="K12" i="9"/>
  <c r="L43" i="49" s="1"/>
  <c r="K43" i="44"/>
  <c r="E63" i="9"/>
  <c r="D64" i="9"/>
  <c r="D63" i="9"/>
  <c r="E64" i="9"/>
  <c r="P27" i="40" l="1"/>
  <c r="P15" i="49"/>
  <c r="N79" i="40"/>
  <c r="N52" i="40"/>
  <c r="K78" i="9"/>
  <c r="K50" i="40"/>
  <c r="K49" i="9"/>
  <c r="N13" i="40"/>
  <c r="N60" i="40"/>
  <c r="O12" i="40"/>
  <c r="P7" i="49" s="1"/>
  <c r="L12" i="9"/>
  <c r="M43" i="49" s="1"/>
  <c r="L43" i="44"/>
  <c r="C5" i="21"/>
  <c r="C7" i="21" l="1"/>
  <c r="C6" i="21"/>
  <c r="Q27" i="40"/>
  <c r="Q15" i="49"/>
  <c r="O79" i="40"/>
  <c r="O52" i="40"/>
  <c r="L78" i="9"/>
  <c r="L50" i="40"/>
  <c r="L49" i="9"/>
  <c r="O13" i="40"/>
  <c r="O60" i="40"/>
  <c r="P12" i="40"/>
  <c r="Q7" i="49" s="1"/>
  <c r="D50" i="21"/>
  <c r="M12" i="9"/>
  <c r="N43" i="49" s="1"/>
  <c r="M43" i="44"/>
  <c r="D65" i="21"/>
  <c r="F65" i="21"/>
  <c r="E65" i="21"/>
  <c r="R27" i="40" l="1"/>
  <c r="R15" i="49"/>
  <c r="E50" i="21"/>
  <c r="F51" i="21" s="1"/>
  <c r="E51" i="21"/>
  <c r="P79" i="40"/>
  <c r="P52" i="40"/>
  <c r="M50" i="40"/>
  <c r="M49" i="9"/>
  <c r="M78" i="9"/>
  <c r="P60" i="40"/>
  <c r="P13" i="40"/>
  <c r="Q12" i="40"/>
  <c r="R7" i="49" s="1"/>
  <c r="N12" i="9"/>
  <c r="O43" i="49" s="1"/>
  <c r="N43" i="44"/>
  <c r="I64" i="21"/>
  <c r="G64" i="21"/>
  <c r="H64" i="21"/>
  <c r="J64" i="21"/>
  <c r="F64" i="21"/>
  <c r="D64" i="21"/>
  <c r="S27" i="40" l="1"/>
  <c r="S15" i="49"/>
  <c r="Q79" i="40"/>
  <c r="Q52" i="40"/>
  <c r="F50" i="21"/>
  <c r="G51" i="21" s="1"/>
  <c r="N50" i="40"/>
  <c r="N49" i="9"/>
  <c r="N78" i="9"/>
  <c r="Q13" i="40"/>
  <c r="R12" i="40"/>
  <c r="Q60" i="40"/>
  <c r="O12" i="9"/>
  <c r="P43" i="49" s="1"/>
  <c r="O43" i="44"/>
  <c r="C48" i="21"/>
  <c r="C47" i="9"/>
  <c r="E35" i="9"/>
  <c r="F35" i="9"/>
  <c r="G48" i="49" s="1"/>
  <c r="C3" i="21"/>
  <c r="F48" i="49" l="1"/>
  <c r="E96" i="9"/>
  <c r="R52" i="40"/>
  <c r="S7" i="49"/>
  <c r="T27" i="40"/>
  <c r="T15" i="49"/>
  <c r="O50" i="40"/>
  <c r="P51" i="40" s="1"/>
  <c r="O49" i="9"/>
  <c r="G48" i="44"/>
  <c r="F48" i="44"/>
  <c r="R60" i="40"/>
  <c r="R79" i="40"/>
  <c r="O78" i="9"/>
  <c r="S12" i="40"/>
  <c r="R13" i="40"/>
  <c r="P12" i="9"/>
  <c r="P43" i="44"/>
  <c r="F98" i="9"/>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P50" i="40" l="1"/>
  <c r="Q51" i="40" s="1"/>
  <c r="Q43" i="49"/>
  <c r="S52" i="40"/>
  <c r="T7" i="49"/>
  <c r="U27" i="40"/>
  <c r="U15" i="49"/>
  <c r="P49" i="9"/>
  <c r="S79" i="40"/>
  <c r="P78" i="9"/>
  <c r="S13" i="40"/>
  <c r="T12" i="40"/>
  <c r="S60" i="40"/>
  <c r="P51" i="9"/>
  <c r="P59" i="9"/>
  <c r="Q12" i="9"/>
  <c r="Q43" i="44"/>
  <c r="F27" i="21"/>
  <c r="F15" i="44"/>
  <c r="D59" i="40"/>
  <c r="D77" i="40" s="1"/>
  <c r="E101" i="40"/>
  <c r="E106" i="40" s="1"/>
  <c r="F96" i="9"/>
  <c r="D23" i="21"/>
  <c r="E22" i="9"/>
  <c r="E23" i="40" s="1"/>
  <c r="E30" i="40" s="1"/>
  <c r="E62" i="40" s="1"/>
  <c r="D26" i="9"/>
  <c r="E26" i="9" s="1"/>
  <c r="F49" i="49" s="1"/>
  <c r="M39" i="21"/>
  <c r="C29" i="9"/>
  <c r="F52" i="21"/>
  <c r="C30" i="21"/>
  <c r="F50" i="9"/>
  <c r="E50" i="9"/>
  <c r="G50" i="9"/>
  <c r="F60" i="21"/>
  <c r="E60" i="21"/>
  <c r="E52" i="21"/>
  <c r="D52" i="21"/>
  <c r="D60" i="21"/>
  <c r="E59" i="40" l="1"/>
  <c r="F8" i="49"/>
  <c r="V27" i="40"/>
  <c r="V15" i="49"/>
  <c r="T52" i="40"/>
  <c r="U7" i="49"/>
  <c r="Q50" i="40"/>
  <c r="R51" i="40" s="1"/>
  <c r="R43" i="49"/>
  <c r="Q49" i="9"/>
  <c r="U12" i="40"/>
  <c r="V7" i="49" s="1"/>
  <c r="T79" i="40"/>
  <c r="Q78" i="9"/>
  <c r="T60" i="40"/>
  <c r="T13" i="40"/>
  <c r="F26" i="9"/>
  <c r="G49" i="49" s="1"/>
  <c r="F49" i="44"/>
  <c r="R12" i="9"/>
  <c r="R43" i="44"/>
  <c r="Q51" i="9"/>
  <c r="Q59" i="9"/>
  <c r="G27" i="21"/>
  <c r="G15" i="44"/>
  <c r="F101" i="40"/>
  <c r="F106" i="40" s="1"/>
  <c r="F22" i="9"/>
  <c r="F23" i="40" s="1"/>
  <c r="G23" i="40" s="1"/>
  <c r="E23" i="21"/>
  <c r="H39" i="21"/>
  <c r="V39" i="21"/>
  <c r="S39" i="21"/>
  <c r="L39" i="21"/>
  <c r="W39" i="21"/>
  <c r="E39" i="21"/>
  <c r="R39" i="21"/>
  <c r="Q39" i="21"/>
  <c r="P39" i="21"/>
  <c r="N39" i="21"/>
  <c r="G39" i="21"/>
  <c r="F39" i="21"/>
  <c r="K39" i="21"/>
  <c r="I39" i="21"/>
  <c r="O39" i="21"/>
  <c r="H65" i="21"/>
  <c r="I65" i="21"/>
  <c r="G65" i="21"/>
  <c r="E64" i="21"/>
  <c r="J65" i="21"/>
  <c r="E29" i="9"/>
  <c r="E61" i="9" s="1"/>
  <c r="H50" i="9"/>
  <c r="D29" i="9"/>
  <c r="D61" i="9" s="1"/>
  <c r="R50" i="40" l="1"/>
  <c r="S51" i="40" s="1"/>
  <c r="S43" i="49"/>
  <c r="F44" i="44"/>
  <c r="F44" i="49"/>
  <c r="W27" i="40"/>
  <c r="X15" i="49" s="1"/>
  <c r="W15" i="49"/>
  <c r="U60" i="40"/>
  <c r="U52" i="40"/>
  <c r="R49" i="9"/>
  <c r="V12" i="40"/>
  <c r="W7" i="49" s="1"/>
  <c r="U13" i="40"/>
  <c r="U79" i="40"/>
  <c r="R78" i="9"/>
  <c r="S12" i="9"/>
  <c r="S43" i="44"/>
  <c r="R59" i="9"/>
  <c r="R51" i="9"/>
  <c r="G26" i="9"/>
  <c r="G49" i="44"/>
  <c r="H27" i="21"/>
  <c r="H15" i="44"/>
  <c r="F30" i="40"/>
  <c r="F62" i="40" s="1"/>
  <c r="G8" i="49" s="1"/>
  <c r="G22" i="9"/>
  <c r="H22" i="9" s="1"/>
  <c r="F23" i="21"/>
  <c r="I50" i="9"/>
  <c r="F29" i="9"/>
  <c r="F61" i="9" s="1"/>
  <c r="E30" i="21"/>
  <c r="E62" i="21" s="1"/>
  <c r="F8" i="44" s="1"/>
  <c r="D30" i="21"/>
  <c r="D62" i="21" s="1"/>
  <c r="H49" i="49" l="1"/>
  <c r="H26" i="9"/>
  <c r="I49" i="49" s="1"/>
  <c r="I22" i="9"/>
  <c r="J22" i="9" s="1"/>
  <c r="K22" i="9" s="1"/>
  <c r="L22" i="9" s="1"/>
  <c r="M22" i="9" s="1"/>
  <c r="N22" i="9" s="1"/>
  <c r="O22" i="9" s="1"/>
  <c r="P22" i="9" s="1"/>
  <c r="Q22" i="9" s="1"/>
  <c r="R22" i="9" s="1"/>
  <c r="S22" i="9" s="1"/>
  <c r="T22" i="9" s="1"/>
  <c r="U22" i="9" s="1"/>
  <c r="V22" i="9" s="1"/>
  <c r="W22" i="9" s="1"/>
  <c r="S50" i="40"/>
  <c r="T51" i="40" s="1"/>
  <c r="T43" i="49"/>
  <c r="G44" i="44"/>
  <c r="G44" i="49"/>
  <c r="V79" i="40"/>
  <c r="V52" i="40"/>
  <c r="S49" i="9"/>
  <c r="V60" i="40"/>
  <c r="V13" i="40"/>
  <c r="W12" i="40"/>
  <c r="X7" i="49" s="1"/>
  <c r="S78" i="9"/>
  <c r="H49" i="44"/>
  <c r="T12" i="9"/>
  <c r="T43" i="44"/>
  <c r="S59" i="9"/>
  <c r="S51" i="9"/>
  <c r="I27" i="21"/>
  <c r="I15" i="44"/>
  <c r="F59" i="40"/>
  <c r="G24" i="40"/>
  <c r="H16" i="49" s="1"/>
  <c r="G30" i="40"/>
  <c r="G29" i="9"/>
  <c r="J50" i="9"/>
  <c r="F30" i="21"/>
  <c r="F62" i="21" s="1"/>
  <c r="G8" i="44" s="1"/>
  <c r="H29" i="9" l="1"/>
  <c r="T50" i="40"/>
  <c r="U51" i="40" s="1"/>
  <c r="U43" i="49"/>
  <c r="H51" i="40"/>
  <c r="H23" i="40" s="1"/>
  <c r="W79" i="40"/>
  <c r="W52" i="40"/>
  <c r="T49" i="9"/>
  <c r="W13" i="40"/>
  <c r="G61" i="9"/>
  <c r="W60" i="40"/>
  <c r="T78" i="9"/>
  <c r="U12" i="9"/>
  <c r="U43" i="44"/>
  <c r="T51" i="9"/>
  <c r="T59" i="9"/>
  <c r="I26" i="9"/>
  <c r="J49" i="49" s="1"/>
  <c r="I49" i="44"/>
  <c r="J27" i="21"/>
  <c r="J15" i="44"/>
  <c r="G106" i="40"/>
  <c r="G62" i="40"/>
  <c r="H8" i="49" s="1"/>
  <c r="G33" i="40"/>
  <c r="H18" i="49" s="1"/>
  <c r="K50" i="9"/>
  <c r="U50" i="40" l="1"/>
  <c r="V51" i="40" s="1"/>
  <c r="V43" i="49"/>
  <c r="H44" i="44"/>
  <c r="H44" i="49"/>
  <c r="U49" i="9"/>
  <c r="U78" i="9"/>
  <c r="V43" i="44"/>
  <c r="V12" i="9"/>
  <c r="U59" i="9"/>
  <c r="U51" i="9"/>
  <c r="J49" i="44"/>
  <c r="J26" i="9"/>
  <c r="K49" i="49" s="1"/>
  <c r="K27" i="21"/>
  <c r="K15" i="44"/>
  <c r="G59" i="40"/>
  <c r="L50" i="9"/>
  <c r="V50" i="40" l="1"/>
  <c r="W51" i="40" s="1"/>
  <c r="W43" i="49"/>
  <c r="V49" i="9"/>
  <c r="V78" i="9"/>
  <c r="K26" i="9"/>
  <c r="L49" i="49" s="1"/>
  <c r="K49" i="44"/>
  <c r="V51" i="9"/>
  <c r="W43" i="44"/>
  <c r="W12" i="9"/>
  <c r="V59" i="9"/>
  <c r="L27" i="21"/>
  <c r="L15" i="44"/>
  <c r="M50" i="9"/>
  <c r="W50" i="40" l="1"/>
  <c r="X43" i="49"/>
  <c r="W49" i="9"/>
  <c r="W78" i="9"/>
  <c r="X43" i="44"/>
  <c r="W51" i="9"/>
  <c r="W59" i="9"/>
  <c r="L26" i="9"/>
  <c r="M49" i="49" s="1"/>
  <c r="L49" i="44"/>
  <c r="M27" i="21"/>
  <c r="M15" i="44"/>
  <c r="N50" i="9"/>
  <c r="M26" i="9" l="1"/>
  <c r="N49" i="49" s="1"/>
  <c r="M49" i="44"/>
  <c r="N27" i="21"/>
  <c r="N15" i="44"/>
  <c r="O50" i="9"/>
  <c r="N26" i="9" l="1"/>
  <c r="O49" i="49" s="1"/>
  <c r="N49" i="44"/>
  <c r="O27" i="21"/>
  <c r="O15" i="44"/>
  <c r="P50" i="9"/>
  <c r="O26" i="9" l="1"/>
  <c r="P49" i="49" s="1"/>
  <c r="O49" i="44"/>
  <c r="P27" i="21"/>
  <c r="P15" i="44"/>
  <c r="Q50" i="9"/>
  <c r="P26" i="9" l="1"/>
  <c r="Q49" i="49" s="1"/>
  <c r="P49" i="44"/>
  <c r="Q27" i="21"/>
  <c r="Q15" i="44"/>
  <c r="R50" i="9"/>
  <c r="Q26" i="9" l="1"/>
  <c r="R49" i="49" s="1"/>
  <c r="Q49" i="44"/>
  <c r="R27" i="21"/>
  <c r="R15" i="44"/>
  <c r="S50" i="9"/>
  <c r="R26" i="9" l="1"/>
  <c r="S49" i="49" s="1"/>
  <c r="R49" i="44"/>
  <c r="S27" i="21"/>
  <c r="S15" i="44"/>
  <c r="T50" i="9"/>
  <c r="S26" i="9" l="1"/>
  <c r="T49" i="49" s="1"/>
  <c r="S49" i="44"/>
  <c r="T27" i="21"/>
  <c r="T15" i="44"/>
  <c r="U50" i="9"/>
  <c r="T26" i="9" l="1"/>
  <c r="U49" i="49" s="1"/>
  <c r="T49" i="44"/>
  <c r="U15" i="44"/>
  <c r="U27" i="21"/>
  <c r="V50" i="9"/>
  <c r="U26" i="9" l="1"/>
  <c r="V49" i="49" s="1"/>
  <c r="U49" i="44"/>
  <c r="V27" i="21"/>
  <c r="V15" i="44"/>
  <c r="W50" i="9"/>
  <c r="V26" i="9" l="1"/>
  <c r="W49" i="49" s="1"/>
  <c r="V49" i="44"/>
  <c r="W27" i="21"/>
  <c r="X15" i="44" s="1"/>
  <c r="W15" i="44"/>
  <c r="W26" i="9" l="1"/>
  <c r="W49" i="44"/>
  <c r="X49" i="44" l="1"/>
  <c r="X49" i="49"/>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73" i="21" l="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F72" i="21" l="1"/>
  <c r="G14" i="44" s="1"/>
  <c r="E71" i="9"/>
  <c r="E72" i="21"/>
  <c r="F14" i="44" s="1"/>
  <c r="D72" i="21"/>
  <c r="C20" i="8" l="1"/>
  <c r="W20" i="8"/>
  <c r="D20" i="8"/>
  <c r="U20" i="8"/>
  <c r="J20" i="8"/>
  <c r="T20" i="8"/>
  <c r="S20" i="8"/>
  <c r="D15" i="21"/>
  <c r="D73" i="21" s="1"/>
  <c r="D74" i="21" s="1"/>
  <c r="D14" i="9"/>
  <c r="D72" i="9" s="1"/>
  <c r="D73" i="9" s="1"/>
  <c r="Q20" i="8"/>
  <c r="J18" i="9"/>
  <c r="J64" i="9"/>
  <c r="J19" i="21"/>
  <c r="N20" i="8"/>
  <c r="M20" i="8"/>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G51" i="49" s="1"/>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F51" i="49" s="1"/>
  <c r="E42" i="21"/>
  <c r="F17" i="44" s="1"/>
  <c r="C41" i="9"/>
  <c r="C101" i="9" s="1"/>
  <c r="C42" i="21"/>
  <c r="C104" i="21" s="1"/>
  <c r="O20" i="8"/>
  <c r="D42" i="21"/>
  <c r="D104" i="21" s="1"/>
  <c r="D41" i="9"/>
  <c r="D101" i="9" s="1"/>
  <c r="V65" i="21"/>
  <c r="V64" i="9"/>
  <c r="V19" i="21"/>
  <c r="V18" i="9"/>
  <c r="F101" i="9" l="1"/>
  <c r="G51" i="44"/>
  <c r="E101" i="9"/>
  <c r="F51" i="44"/>
  <c r="F33" i="21"/>
  <c r="G18" i="44" s="1"/>
  <c r="G17" i="44"/>
  <c r="E63" i="21"/>
  <c r="E59" i="21" s="1"/>
  <c r="F9" i="44"/>
  <c r="F63" i="21"/>
  <c r="L18" i="40"/>
  <c r="L64" i="40"/>
  <c r="K18" i="40"/>
  <c r="K64" i="40"/>
  <c r="M18" i="40"/>
  <c r="M64" i="40"/>
  <c r="N18" i="40"/>
  <c r="N64" i="40"/>
  <c r="R18" i="40"/>
  <c r="R64" i="40"/>
  <c r="V18" i="40"/>
  <c r="V64" i="40"/>
  <c r="S18" i="40"/>
  <c r="S64" i="40"/>
  <c r="T18" i="40"/>
  <c r="T64" i="40"/>
  <c r="J18" i="21"/>
  <c r="J18" i="40"/>
  <c r="U18" i="40"/>
  <c r="U64" i="40"/>
  <c r="D18" i="40"/>
  <c r="P18" i="40"/>
  <c r="P64" i="40"/>
  <c r="O18" i="40"/>
  <c r="O64" i="40"/>
  <c r="Q18" i="40"/>
  <c r="Q64" i="40"/>
  <c r="W18" i="40"/>
  <c r="W64" i="40"/>
  <c r="C18" i="40"/>
  <c r="H63" i="9"/>
  <c r="K64" i="21"/>
  <c r="M64" i="21"/>
  <c r="N64" i="21"/>
  <c r="R64" i="21"/>
  <c r="L64" i="21"/>
  <c r="V64" i="21"/>
  <c r="S18" i="21"/>
  <c r="S64" i="21"/>
  <c r="T64" i="21"/>
  <c r="U64" i="21"/>
  <c r="P64" i="21"/>
  <c r="O64" i="21"/>
  <c r="Q64" i="21"/>
  <c r="W64" i="21"/>
  <c r="U17" i="9"/>
  <c r="G63" i="9"/>
  <c r="G58" i="9" s="1"/>
  <c r="C18" i="21"/>
  <c r="C17" i="9"/>
  <c r="W17" i="9"/>
  <c r="T17" i="9"/>
  <c r="S63" i="9"/>
  <c r="T18" i="21"/>
  <c r="S17" i="9"/>
  <c r="J17" i="9"/>
  <c r="D17" i="9"/>
  <c r="D18" i="21"/>
  <c r="U18" i="21"/>
  <c r="W18" i="21"/>
  <c r="W63" i="9"/>
  <c r="T63" i="9"/>
  <c r="E32" i="9"/>
  <c r="O63" i="9"/>
  <c r="F17" i="9"/>
  <c r="F18" i="21"/>
  <c r="L18" i="21"/>
  <c r="L17" i="9"/>
  <c r="L63" i="9"/>
  <c r="V42" i="21"/>
  <c r="D33" i="21"/>
  <c r="D69" i="21" s="1"/>
  <c r="R42" i="21"/>
  <c r="W42" i="21"/>
  <c r="V18" i="21"/>
  <c r="V17" i="9"/>
  <c r="V63" i="9"/>
  <c r="C33" i="21"/>
  <c r="F32" i="9"/>
  <c r="C90" i="21"/>
  <c r="D70" i="21"/>
  <c r="S42" i="21"/>
  <c r="P18" i="21"/>
  <c r="P63" i="9"/>
  <c r="P17" i="9"/>
  <c r="I18" i="21"/>
  <c r="I17" i="9"/>
  <c r="I63" i="9"/>
  <c r="U42" i="21"/>
  <c r="M17" i="9"/>
  <c r="M63" i="9"/>
  <c r="M18" i="21"/>
  <c r="J63" i="9"/>
  <c r="C32" i="9"/>
  <c r="C87" i="9"/>
  <c r="D69" i="9"/>
  <c r="R18" i="21"/>
  <c r="R17" i="9"/>
  <c r="R63" i="9"/>
  <c r="Q42" i="21"/>
  <c r="N63" i="9"/>
  <c r="N17" i="9"/>
  <c r="N18" i="21"/>
  <c r="U63" i="9"/>
  <c r="Q63" i="9"/>
  <c r="Q17" i="9"/>
  <c r="Q18" i="21"/>
  <c r="D32" i="9"/>
  <c r="D68" i="9" s="1"/>
  <c r="O17" i="9"/>
  <c r="O18" i="21"/>
  <c r="E33" i="21"/>
  <c r="F18" i="44" s="1"/>
  <c r="H17" i="9"/>
  <c r="H18" i="21"/>
  <c r="G17" i="9"/>
  <c r="G18" i="21"/>
  <c r="K63" i="9"/>
  <c r="K17" i="9"/>
  <c r="K18" i="21"/>
  <c r="E18" i="21"/>
  <c r="E17" i="9"/>
  <c r="T42" i="21"/>
  <c r="F52" i="44" l="1"/>
  <c r="F52" i="49"/>
  <c r="G52" i="44"/>
  <c r="G52" i="49"/>
  <c r="X17" i="44"/>
  <c r="Q17" i="44"/>
  <c r="R17" i="44"/>
  <c r="V17" i="44"/>
  <c r="S17" i="44"/>
  <c r="W17" i="44"/>
  <c r="U17" i="44"/>
  <c r="T17" i="44"/>
  <c r="D68" i="21"/>
  <c r="D67" i="9"/>
  <c r="D66" i="9" s="1"/>
  <c r="L42" i="21"/>
  <c r="Q38" i="21"/>
  <c r="R12" i="44" s="1"/>
  <c r="K42" i="21"/>
  <c r="J42" i="21"/>
  <c r="W38" i="21"/>
  <c r="X12" i="44" s="1"/>
  <c r="V38" i="21"/>
  <c r="W12" i="44" s="1"/>
  <c r="U38" i="21"/>
  <c r="V12" i="44" s="1"/>
  <c r="M42" i="21"/>
  <c r="T38" i="21"/>
  <c r="U12" i="44" s="1"/>
  <c r="R38" i="21"/>
  <c r="S12" i="44" s="1"/>
  <c r="I42" i="21"/>
  <c r="S38" i="21"/>
  <c r="T12" i="44" s="1"/>
  <c r="P38" i="21"/>
  <c r="Q12" i="44" s="1"/>
  <c r="D71" i="40" l="1"/>
  <c r="D67" i="40" s="1"/>
  <c r="D58" i="40" s="1"/>
  <c r="D57" i="40" s="1"/>
  <c r="D71" i="21"/>
  <c r="D67" i="21" s="1"/>
  <c r="D58" i="21" s="1"/>
  <c r="D57" i="21" s="1"/>
  <c r="J17" i="44"/>
  <c r="K17" i="44"/>
  <c r="L17" i="44"/>
  <c r="N17" i="44"/>
  <c r="M17" i="44"/>
  <c r="D77" i="21"/>
  <c r="D78" i="21"/>
  <c r="D76" i="9"/>
  <c r="D77" i="9"/>
  <c r="E68" i="40" l="1"/>
  <c r="F10" i="49" s="1"/>
  <c r="E69" i="40"/>
  <c r="D92" i="40"/>
  <c r="E70" i="40"/>
  <c r="D57" i="9"/>
  <c r="D56" i="9" s="1"/>
  <c r="E68" i="21"/>
  <c r="E69" i="21"/>
  <c r="E70" i="21"/>
  <c r="D90" i="21"/>
  <c r="E77" i="40" l="1"/>
  <c r="F6" i="49" s="1"/>
  <c r="E78" i="40"/>
  <c r="F10" i="44"/>
  <c r="D87" i="9"/>
  <c r="E68" i="9"/>
  <c r="E67" i="9"/>
  <c r="F45" i="49" s="1"/>
  <c r="E69" i="9"/>
  <c r="E77" i="21"/>
  <c r="E78" i="21"/>
  <c r="F6" i="44" l="1"/>
  <c r="F45" i="44"/>
  <c r="E76" i="9"/>
  <c r="F42" i="49" s="1"/>
  <c r="E77" i="9"/>
  <c r="E66" i="9" l="1"/>
  <c r="E57" i="9" s="1"/>
  <c r="E56" i="9" s="1"/>
  <c r="E71" i="21"/>
  <c r="E67" i="21" s="1"/>
  <c r="E58" i="21" s="1"/>
  <c r="E57" i="21" s="1"/>
  <c r="E71" i="40"/>
  <c r="E67" i="40" s="1"/>
  <c r="E58" i="40" s="1"/>
  <c r="E57" i="40" s="1"/>
  <c r="F42" i="44"/>
  <c r="F5" i="49" l="1"/>
  <c r="F41" i="49"/>
  <c r="F41" i="44"/>
  <c r="E87" i="9"/>
  <c r="F67" i="9"/>
  <c r="F68" i="9"/>
  <c r="F69" i="9"/>
  <c r="F68" i="40"/>
  <c r="G10" i="49" s="1"/>
  <c r="F69" i="40"/>
  <c r="F70" i="40"/>
  <c r="E92" i="40"/>
  <c r="F5" i="44"/>
  <c r="F68" i="21"/>
  <c r="F69" i="21"/>
  <c r="F70" i="21"/>
  <c r="E90" i="21"/>
  <c r="F58" i="49" l="1"/>
  <c r="E89" i="9"/>
  <c r="E92" i="9"/>
  <c r="E88" i="9"/>
  <c r="E91" i="9"/>
  <c r="E90" i="9"/>
  <c r="E97" i="40"/>
  <c r="F62" i="49" s="1"/>
  <c r="E96" i="40"/>
  <c r="F61" i="49" s="1"/>
  <c r="E93" i="40"/>
  <c r="E95" i="40"/>
  <c r="F60" i="49" s="1"/>
  <c r="E94" i="40"/>
  <c r="F59" i="49" s="1"/>
  <c r="E92" i="21"/>
  <c r="E95" i="21"/>
  <c r="E91" i="21"/>
  <c r="E94" i="21"/>
  <c r="E93" i="21"/>
  <c r="F76" i="9"/>
  <c r="G42" i="49" s="1"/>
  <c r="G45" i="49"/>
  <c r="G45" i="44"/>
  <c r="F77" i="9"/>
  <c r="G10" i="44"/>
  <c r="F77" i="40"/>
  <c r="G6" i="49" s="1"/>
  <c r="F78" i="40"/>
  <c r="G42" i="44" l="1"/>
  <c r="F71" i="40"/>
  <c r="F67" i="40" s="1"/>
  <c r="F58" i="40" s="1"/>
  <c r="F57" i="40" s="1"/>
  <c r="F71" i="21"/>
  <c r="F67" i="21" s="1"/>
  <c r="F66" i="9"/>
  <c r="F57" i="9" s="1"/>
  <c r="F56" i="9" s="1"/>
  <c r="F99" i="21"/>
  <c r="G41" i="49" l="1"/>
  <c r="G68" i="40"/>
  <c r="H10" i="49" s="1"/>
  <c r="G5" i="49"/>
  <c r="G70" i="40"/>
  <c r="F92" i="40"/>
  <c r="G58" i="49" s="1"/>
  <c r="G69" i="40"/>
  <c r="G41" i="44"/>
  <c r="E93" i="9"/>
  <c r="G67" i="9"/>
  <c r="G69" i="9"/>
  <c r="G68" i="9"/>
  <c r="F87" i="9"/>
  <c r="F61" i="44"/>
  <c r="F104" i="21"/>
  <c r="F87" i="40" l="1"/>
  <c r="F96" i="40" s="1"/>
  <c r="G61" i="49" s="1"/>
  <c r="G77" i="40"/>
  <c r="H6" i="49" s="1"/>
  <c r="G78" i="40"/>
  <c r="G26" i="35" s="1"/>
  <c r="E96" i="21"/>
  <c r="E98" i="40"/>
  <c r="G71" i="40"/>
  <c r="G67" i="40" s="1"/>
  <c r="G58" i="40" s="1"/>
  <c r="G57" i="40" s="1"/>
  <c r="H45" i="49"/>
  <c r="E94" i="9"/>
  <c r="G77" i="9"/>
  <c r="F97" i="9"/>
  <c r="H45" i="44"/>
  <c r="G76" i="9"/>
  <c r="F100" i="21"/>
  <c r="F101" i="21" s="1"/>
  <c r="F58" i="44"/>
  <c r="F60" i="44"/>
  <c r="F59" i="44"/>
  <c r="F97" i="40"/>
  <c r="G62" i="49" s="1"/>
  <c r="F102" i="40"/>
  <c r="F62" i="44"/>
  <c r="F83" i="9"/>
  <c r="H5" i="49" l="1"/>
  <c r="E97" i="21"/>
  <c r="E99" i="40"/>
  <c r="F88" i="40" s="1"/>
  <c r="F95" i="40" s="1"/>
  <c r="G71" i="21"/>
  <c r="H42" i="44"/>
  <c r="H42" i="49"/>
  <c r="H70" i="40"/>
  <c r="F103" i="40"/>
  <c r="G60" i="49" s="1"/>
  <c r="G66" i="9"/>
  <c r="G57" i="9" s="1"/>
  <c r="G56" i="9" s="1"/>
  <c r="G92" i="40"/>
  <c r="F91" i="9"/>
  <c r="F84" i="9"/>
  <c r="F89" i="9" s="1"/>
  <c r="F92" i="9"/>
  <c r="H58" i="49" l="1"/>
  <c r="F94" i="40"/>
  <c r="G59" i="49" s="1"/>
  <c r="G87" i="40"/>
  <c r="G97" i="40" s="1"/>
  <c r="H62" i="49" s="1"/>
  <c r="H41" i="49"/>
  <c r="F93" i="40"/>
  <c r="F99" i="40" s="1"/>
  <c r="G87" i="9"/>
  <c r="H69" i="9"/>
  <c r="H41" i="44"/>
  <c r="F90" i="9"/>
  <c r="G96" i="40" l="1"/>
  <c r="H61" i="49" s="1"/>
  <c r="G102" i="40"/>
  <c r="G103" i="40" s="1"/>
  <c r="F98" i="40"/>
  <c r="F88" i="9"/>
  <c r="G97" i="9" s="1"/>
  <c r="G88" i="40"/>
  <c r="G99" i="21"/>
  <c r="F94" i="9" l="1"/>
  <c r="G94" i="40"/>
  <c r="H59" i="49" s="1"/>
  <c r="G95" i="40"/>
  <c r="H60" i="49" s="1"/>
  <c r="F93" i="9"/>
  <c r="G83" i="9"/>
  <c r="G91" i="9" s="1"/>
  <c r="G93" i="40" l="1"/>
  <c r="G92" i="9"/>
  <c r="G84" i="9"/>
  <c r="G90" i="9" s="1"/>
  <c r="E99" i="21"/>
  <c r="E104" i="21" s="1"/>
  <c r="G98" i="40" l="1"/>
  <c r="G99" i="40"/>
  <c r="G89" i="9"/>
  <c r="G88" i="9" l="1"/>
  <c r="H97" i="9" s="1"/>
  <c r="F78" i="21"/>
  <c r="G12" i="21" s="1"/>
  <c r="F59" i="21"/>
  <c r="F77" i="21" s="1"/>
  <c r="G52" i="21" l="1"/>
  <c r="H102" i="40"/>
  <c r="G50" i="21"/>
  <c r="G23" i="21" s="1"/>
  <c r="G6" i="44"/>
  <c r="G93" i="9"/>
  <c r="G94" i="9"/>
  <c r="F58" i="21"/>
  <c r="F57" i="21" s="1"/>
  <c r="H103" i="40" l="1"/>
  <c r="G79" i="21"/>
  <c r="G5" i="44"/>
  <c r="H7" i="44"/>
  <c r="G13" i="21"/>
  <c r="G18" i="35"/>
  <c r="F90" i="21"/>
  <c r="G70" i="21"/>
  <c r="H101" i="40" l="1"/>
  <c r="H36" i="40" s="1"/>
  <c r="I13" i="49" s="1"/>
  <c r="F85" i="21"/>
  <c r="F86" i="21" s="1"/>
  <c r="G60" i="21"/>
  <c r="F92" i="21" l="1"/>
  <c r="F93" i="21"/>
  <c r="F95" i="21"/>
  <c r="F94" i="21"/>
  <c r="G24" i="21"/>
  <c r="G61" i="44" l="1"/>
  <c r="H16" i="44"/>
  <c r="G104" i="21"/>
  <c r="F91" i="21"/>
  <c r="G30" i="21"/>
  <c r="H51" i="21" s="1"/>
  <c r="G33" i="21"/>
  <c r="G62" i="21" l="1"/>
  <c r="G59" i="44"/>
  <c r="G58" i="44"/>
  <c r="G60" i="44"/>
  <c r="G68" i="21"/>
  <c r="H10" i="44" s="1"/>
  <c r="H18" i="44"/>
  <c r="G59" i="21"/>
  <c r="H8" i="44"/>
  <c r="G100" i="21"/>
  <c r="G101" i="21" s="1"/>
  <c r="F97" i="21"/>
  <c r="F96" i="21"/>
  <c r="G62" i="44" s="1"/>
  <c r="G69" i="21"/>
  <c r="G77" i="21" l="1"/>
  <c r="G78" i="21"/>
  <c r="H12" i="21" s="1"/>
  <c r="G67" i="21"/>
  <c r="G58" i="21" s="1"/>
  <c r="G57" i="21" s="1"/>
  <c r="H52" i="21" l="1"/>
  <c r="H6" i="44"/>
  <c r="G19" i="35"/>
  <c r="H5" i="44"/>
  <c r="H70" i="21"/>
  <c r="G90" i="21"/>
  <c r="H50" i="21" l="1"/>
  <c r="H79" i="21"/>
  <c r="H13" i="21"/>
  <c r="H18" i="35"/>
  <c r="I7" i="44"/>
  <c r="G85" i="21"/>
  <c r="G86" i="21" s="1"/>
  <c r="H60" i="21"/>
  <c r="H23" i="21" l="1"/>
  <c r="G94" i="21"/>
  <c r="G92" i="21"/>
  <c r="G95" i="21"/>
  <c r="G93" i="21"/>
  <c r="H61" i="44" l="1"/>
  <c r="G91" i="21"/>
  <c r="H100" i="21" l="1"/>
  <c r="H59" i="44"/>
  <c r="H58" i="44"/>
  <c r="G97" i="21"/>
  <c r="G96" i="21"/>
  <c r="H62" i="44" s="1"/>
  <c r="H60" i="44"/>
  <c r="M20" i="35" l="1"/>
  <c r="I46" i="44" l="1"/>
  <c r="I36" i="9"/>
  <c r="H96" i="9" l="1"/>
  <c r="I37" i="40"/>
  <c r="J46" i="49"/>
  <c r="J36" i="9"/>
  <c r="I37" i="21"/>
  <c r="J11" i="44" s="1"/>
  <c r="J46" i="44"/>
  <c r="I48" i="49"/>
  <c r="J37" i="40" l="1"/>
  <c r="K46" i="49"/>
  <c r="J11" i="49"/>
  <c r="K36" i="9"/>
  <c r="J37" i="21"/>
  <c r="K11" i="44" s="1"/>
  <c r="I48" i="44"/>
  <c r="K46" i="44"/>
  <c r="K11" i="49" l="1"/>
  <c r="K37" i="40"/>
  <c r="L46" i="49"/>
  <c r="L36" i="9"/>
  <c r="K37" i="21"/>
  <c r="L11" i="44" s="1"/>
  <c r="L46" i="44"/>
  <c r="L11" i="49" l="1"/>
  <c r="L37" i="40"/>
  <c r="M46" i="49"/>
  <c r="M36" i="9"/>
  <c r="L37" i="21"/>
  <c r="M11" i="44" s="1"/>
  <c r="M46" i="44"/>
  <c r="M11" i="49" l="1"/>
  <c r="M37" i="40"/>
  <c r="N46" i="49"/>
  <c r="N36" i="9"/>
  <c r="M37" i="21"/>
  <c r="N11" i="44" s="1"/>
  <c r="N46" i="44"/>
  <c r="N11" i="49" l="1"/>
  <c r="N37" i="40"/>
  <c r="O46" i="49"/>
  <c r="O46" i="44"/>
  <c r="O36" i="9"/>
  <c r="N37" i="21"/>
  <c r="O11" i="44" s="1"/>
  <c r="O11" i="49" l="1"/>
  <c r="O37" i="40"/>
  <c r="P46" i="49"/>
  <c r="O37" i="21"/>
  <c r="P46" i="44"/>
  <c r="P11" i="49" l="1"/>
  <c r="S37" i="40"/>
  <c r="T11" i="49" s="1"/>
  <c r="S37" i="21"/>
  <c r="T11" i="44" s="1"/>
  <c r="T46" i="44"/>
  <c r="R37" i="21"/>
  <c r="S11" i="44" s="1"/>
  <c r="R37" i="40"/>
  <c r="S11" i="49" s="1"/>
  <c r="S46" i="44"/>
  <c r="V37" i="21"/>
  <c r="W11" i="44" s="1"/>
  <c r="V37" i="40"/>
  <c r="W11" i="49" s="1"/>
  <c r="W46" i="44"/>
  <c r="V46" i="44"/>
  <c r="U37" i="40"/>
  <c r="V11" i="49" s="1"/>
  <c r="U37" i="21"/>
  <c r="V11" i="44" s="1"/>
  <c r="W37" i="40"/>
  <c r="X11" i="49" s="1"/>
  <c r="X46" i="44"/>
  <c r="W37" i="21"/>
  <c r="X11" i="44" s="1"/>
  <c r="T37" i="21"/>
  <c r="U11" i="44" s="1"/>
  <c r="U46" i="44"/>
  <c r="T37" i="40"/>
  <c r="U11" i="49" s="1"/>
  <c r="P11" i="44"/>
  <c r="I11" i="44" l="1"/>
  <c r="H101" i="21"/>
  <c r="H99" i="21" s="1"/>
  <c r="H36" i="21" l="1"/>
  <c r="I13" i="44" l="1"/>
  <c r="T29" i="9" l="1"/>
  <c r="T61" i="9" s="1"/>
  <c r="U44" i="49" s="1"/>
  <c r="W29" i="9"/>
  <c r="W61" i="9" s="1"/>
  <c r="X44" i="49" s="1"/>
  <c r="U32" i="9"/>
  <c r="V50" i="44"/>
  <c r="X50" i="44"/>
  <c r="T32" i="9"/>
  <c r="U50" i="44"/>
  <c r="N32" i="9"/>
  <c r="K29" i="9"/>
  <c r="L29" i="9"/>
  <c r="J29" i="9"/>
  <c r="M50" i="44"/>
  <c r="P32" i="9"/>
  <c r="Q50" i="44"/>
  <c r="W50" i="44"/>
  <c r="O50" i="44"/>
  <c r="U29" i="9"/>
  <c r="U61" i="9" s="1"/>
  <c r="I29" i="9"/>
  <c r="S29" i="9"/>
  <c r="S61" i="9" s="1"/>
  <c r="T44" i="49" s="1"/>
  <c r="Q29" i="9"/>
  <c r="Q61" i="9" s="1"/>
  <c r="R44" i="49" s="1"/>
  <c r="O29" i="9"/>
  <c r="O61" i="9" s="1"/>
  <c r="P44" i="49" s="1"/>
  <c r="M32" i="9"/>
  <c r="S32" i="9"/>
  <c r="R32" i="9"/>
  <c r="S50" i="44"/>
  <c r="V29" i="9"/>
  <c r="V61" i="9" s="1"/>
  <c r="R29" i="9"/>
  <c r="R61" i="9" s="1"/>
  <c r="S44" i="49" s="1"/>
  <c r="P29" i="9"/>
  <c r="P61" i="9" s="1"/>
  <c r="Q44" i="49" s="1"/>
  <c r="N29" i="9"/>
  <c r="N61" i="9" s="1"/>
  <c r="H30" i="21"/>
  <c r="I51" i="21" s="1"/>
  <c r="M29" i="9"/>
  <c r="M61" i="9" s="1"/>
  <c r="J50" i="44"/>
  <c r="I32" i="9"/>
  <c r="K32" i="9"/>
  <c r="L50" i="44"/>
  <c r="P50" i="44"/>
  <c r="H101" i="9"/>
  <c r="R50" i="44"/>
  <c r="Q32" i="9"/>
  <c r="N58" i="9" l="1"/>
  <c r="O44" i="49"/>
  <c r="Q52" i="44"/>
  <c r="Q52" i="49"/>
  <c r="W44" i="44"/>
  <c r="W44" i="49"/>
  <c r="S52" i="44"/>
  <c r="S52" i="49"/>
  <c r="O52" i="44"/>
  <c r="O52" i="49"/>
  <c r="T52" i="44"/>
  <c r="T52" i="49"/>
  <c r="N52" i="44"/>
  <c r="N52" i="49"/>
  <c r="U52" i="44"/>
  <c r="U52" i="49"/>
  <c r="V52" i="44"/>
  <c r="V52" i="49"/>
  <c r="M58" i="9"/>
  <c r="N44" i="49"/>
  <c r="L52" i="44"/>
  <c r="L52" i="49"/>
  <c r="R52" i="44"/>
  <c r="R52" i="49"/>
  <c r="J52" i="44"/>
  <c r="J52" i="49"/>
  <c r="U58" i="9"/>
  <c r="V44" i="49"/>
  <c r="J61" i="9"/>
  <c r="L61" i="9"/>
  <c r="M44" i="49" s="1"/>
  <c r="K61" i="9"/>
  <c r="I61" i="9"/>
  <c r="J44" i="49" s="1"/>
  <c r="H61" i="9"/>
  <c r="H58" i="9" s="1"/>
  <c r="V32" i="9"/>
  <c r="O32" i="9"/>
  <c r="W32" i="9"/>
  <c r="T50" i="44"/>
  <c r="O58" i="9"/>
  <c r="P44" i="44"/>
  <c r="S44" i="44"/>
  <c r="R58" i="9"/>
  <c r="S58" i="9"/>
  <c r="T44" i="44"/>
  <c r="Q44" i="44"/>
  <c r="P58" i="9"/>
  <c r="H62" i="21"/>
  <c r="O44" i="44"/>
  <c r="V58" i="9"/>
  <c r="N50" i="44"/>
  <c r="H24" i="21"/>
  <c r="W58" i="9"/>
  <c r="X44" i="44"/>
  <c r="N44" i="44"/>
  <c r="J32" i="9"/>
  <c r="K50" i="44"/>
  <c r="V44" i="44"/>
  <c r="T58" i="9"/>
  <c r="U44" i="44"/>
  <c r="R44" i="44"/>
  <c r="Q58" i="9"/>
  <c r="I52" i="49"/>
  <c r="I50" i="44"/>
  <c r="L32" i="9"/>
  <c r="L44" i="44" l="1"/>
  <c r="L44" i="49"/>
  <c r="K44" i="44"/>
  <c r="K44" i="49"/>
  <c r="J58" i="9"/>
  <c r="K58" i="9"/>
  <c r="X52" i="44"/>
  <c r="X52" i="49"/>
  <c r="P52" i="44"/>
  <c r="P52" i="49"/>
  <c r="W52" i="44"/>
  <c r="W52" i="49"/>
  <c r="K52" i="44"/>
  <c r="K52" i="49"/>
  <c r="M52" i="44"/>
  <c r="M52" i="49"/>
  <c r="L58" i="9"/>
  <c r="M44" i="44"/>
  <c r="I44" i="44"/>
  <c r="I44" i="49"/>
  <c r="H24" i="40"/>
  <c r="H30" i="40"/>
  <c r="I51" i="40" s="1"/>
  <c r="I23" i="40" s="1"/>
  <c r="I58" i="9"/>
  <c r="J44" i="44"/>
  <c r="H87" i="9"/>
  <c r="I52" i="44"/>
  <c r="H67" i="9"/>
  <c r="I8" i="44"/>
  <c r="H59" i="21"/>
  <c r="H33" i="21"/>
  <c r="H69" i="21" s="1"/>
  <c r="I16" i="44"/>
  <c r="H104" i="21"/>
  <c r="H90" i="21" s="1"/>
  <c r="H68" i="9"/>
  <c r="I16" i="49" l="1"/>
  <c r="H76" i="9"/>
  <c r="I45" i="49"/>
  <c r="H33" i="40"/>
  <c r="H106" i="40"/>
  <c r="H83" i="9"/>
  <c r="H92" i="9" s="1"/>
  <c r="H62" i="40"/>
  <c r="I8" i="49" s="1"/>
  <c r="H66" i="9"/>
  <c r="H57" i="9" s="1"/>
  <c r="H56" i="9" s="1"/>
  <c r="I45" i="44"/>
  <c r="H77" i="9"/>
  <c r="I58" i="44"/>
  <c r="H85" i="21"/>
  <c r="H86" i="21" s="1"/>
  <c r="H68" i="21"/>
  <c r="I18" i="44"/>
  <c r="I41" i="49" l="1"/>
  <c r="H68" i="40"/>
  <c r="I10" i="49" s="1"/>
  <c r="I18" i="49"/>
  <c r="I42" i="44"/>
  <c r="I42" i="49"/>
  <c r="H69" i="40"/>
  <c r="H91" i="9"/>
  <c r="H59" i="40"/>
  <c r="H77" i="40" s="1"/>
  <c r="I6" i="49" s="1"/>
  <c r="I30" i="40"/>
  <c r="J51" i="40" s="1"/>
  <c r="J23" i="40" s="1"/>
  <c r="I24" i="40"/>
  <c r="H92" i="40"/>
  <c r="H84" i="9"/>
  <c r="H89" i="9" s="1"/>
  <c r="H78" i="40"/>
  <c r="H26" i="35" s="1"/>
  <c r="H94" i="21"/>
  <c r="I61" i="44" s="1"/>
  <c r="H95" i="21"/>
  <c r="I62" i="44" s="1"/>
  <c r="H92" i="21"/>
  <c r="I59" i="44" s="1"/>
  <c r="I69" i="9"/>
  <c r="I68" i="9"/>
  <c r="I41" i="44"/>
  <c r="H93" i="21"/>
  <c r="H67" i="21"/>
  <c r="H58" i="21" s="1"/>
  <c r="H57" i="21" s="1"/>
  <c r="I10" i="44"/>
  <c r="H78" i="21"/>
  <c r="I12" i="21" s="1"/>
  <c r="H77" i="21"/>
  <c r="I58" i="49" l="1"/>
  <c r="H90" i="9"/>
  <c r="H67" i="40"/>
  <c r="H58" i="40" s="1"/>
  <c r="H57" i="40" s="1"/>
  <c r="J16" i="49"/>
  <c r="H87" i="40"/>
  <c r="H88" i="40" s="1"/>
  <c r="H94" i="40" s="1"/>
  <c r="I59" i="49" s="1"/>
  <c r="I33" i="40"/>
  <c r="J18" i="49" s="1"/>
  <c r="I62" i="40"/>
  <c r="J8" i="49" s="1"/>
  <c r="H88" i="9"/>
  <c r="H19" i="35"/>
  <c r="I5" i="44"/>
  <c r="I70" i="21"/>
  <c r="I60" i="44"/>
  <c r="I6" i="44"/>
  <c r="H91" i="21"/>
  <c r="H96" i="21" l="1"/>
  <c r="I100" i="21"/>
  <c r="I101" i="21" s="1"/>
  <c r="I99" i="21" s="1"/>
  <c r="I5" i="49"/>
  <c r="I69" i="40"/>
  <c r="I70" i="40"/>
  <c r="H96" i="40"/>
  <c r="I61" i="49" s="1"/>
  <c r="H95" i="40"/>
  <c r="I59" i="40"/>
  <c r="J30" i="40"/>
  <c r="J24" i="40"/>
  <c r="H97" i="40"/>
  <c r="I62" i="49" s="1"/>
  <c r="I97" i="9"/>
  <c r="I98" i="9" s="1"/>
  <c r="I96" i="9" s="1"/>
  <c r="H94" i="9"/>
  <c r="H93" i="9"/>
  <c r="I18" i="35"/>
  <c r="J7" i="44"/>
  <c r="I13" i="21"/>
  <c r="I50" i="21"/>
  <c r="I60" i="21"/>
  <c r="I52" i="21"/>
  <c r="I79" i="21"/>
  <c r="H97" i="21"/>
  <c r="H93" i="40" l="1"/>
  <c r="I60" i="49"/>
  <c r="I23" i="21"/>
  <c r="K16" i="49"/>
  <c r="K51" i="40"/>
  <c r="K23" i="40" s="1"/>
  <c r="H98" i="40"/>
  <c r="H99" i="40"/>
  <c r="I102" i="40"/>
  <c r="J33" i="40"/>
  <c r="K18" i="49" s="1"/>
  <c r="J62" i="40"/>
  <c r="K8" i="49" s="1"/>
  <c r="I35" i="9"/>
  <c r="J48" i="49" s="1"/>
  <c r="I101" i="9"/>
  <c r="I87" i="9" s="1"/>
  <c r="I36" i="21"/>
  <c r="I103" i="40" l="1"/>
  <c r="J59" i="40"/>
  <c r="K30" i="40"/>
  <c r="K24" i="40"/>
  <c r="I83" i="9"/>
  <c r="I84" i="9" s="1"/>
  <c r="J48" i="44"/>
  <c r="I67" i="9"/>
  <c r="J45" i="49" s="1"/>
  <c r="J13" i="44"/>
  <c r="I24" i="21"/>
  <c r="I30" i="21"/>
  <c r="J51" i="21" s="1"/>
  <c r="L16" i="49" l="1"/>
  <c r="K62" i="40"/>
  <c r="K59" i="40" s="1"/>
  <c r="L51" i="40"/>
  <c r="L23" i="40" s="1"/>
  <c r="L24" i="40" s="1"/>
  <c r="I101" i="40"/>
  <c r="I91" i="9"/>
  <c r="I89" i="9"/>
  <c r="I92" i="9"/>
  <c r="I90" i="9"/>
  <c r="K33" i="40"/>
  <c r="L18" i="49" s="1"/>
  <c r="I66" i="9"/>
  <c r="I57" i="9" s="1"/>
  <c r="I56" i="9" s="1"/>
  <c r="I77" i="9"/>
  <c r="J45" i="44"/>
  <c r="I76" i="9"/>
  <c r="I62" i="21"/>
  <c r="I33" i="21"/>
  <c r="I69" i="21" s="1"/>
  <c r="J16" i="44"/>
  <c r="I104" i="21"/>
  <c r="J41" i="49" l="1"/>
  <c r="I88" i="9"/>
  <c r="I94" i="9" s="1"/>
  <c r="L30" i="40"/>
  <c r="L62" i="40" s="1"/>
  <c r="L59" i="40" s="1"/>
  <c r="L8" i="49"/>
  <c r="M51" i="40"/>
  <c r="M23" i="40" s="1"/>
  <c r="M16" i="49"/>
  <c r="I106" i="40"/>
  <c r="I92" i="40" s="1"/>
  <c r="J58" i="49" s="1"/>
  <c r="I36" i="40"/>
  <c r="J42" i="44"/>
  <c r="J42" i="49"/>
  <c r="L33" i="40"/>
  <c r="M18" i="49" s="1"/>
  <c r="J69" i="9"/>
  <c r="J41" i="44"/>
  <c r="J68" i="9"/>
  <c r="I90" i="21"/>
  <c r="J18" i="44"/>
  <c r="I68" i="21"/>
  <c r="J8" i="44"/>
  <c r="I59" i="21"/>
  <c r="J97" i="9" l="1"/>
  <c r="J98" i="9" s="1"/>
  <c r="J96" i="9" s="1"/>
  <c r="I93" i="9"/>
  <c r="M8" i="49"/>
  <c r="I87" i="40"/>
  <c r="I88" i="40" s="1"/>
  <c r="I94" i="40" s="1"/>
  <c r="J59" i="49" s="1"/>
  <c r="M30" i="40"/>
  <c r="M24" i="40"/>
  <c r="I85" i="21"/>
  <c r="I86" i="21" s="1"/>
  <c r="J58" i="44"/>
  <c r="J13" i="49"/>
  <c r="I68" i="40"/>
  <c r="J101" i="9"/>
  <c r="J87" i="9" s="1"/>
  <c r="J35" i="9"/>
  <c r="K48" i="49" s="1"/>
  <c r="I77" i="21"/>
  <c r="I67" i="21"/>
  <c r="I58" i="21" s="1"/>
  <c r="I57" i="21" s="1"/>
  <c r="J10" i="44"/>
  <c r="I78" i="21"/>
  <c r="J12" i="21" s="1"/>
  <c r="K12" i="21" s="1"/>
  <c r="L12" i="21" s="1"/>
  <c r="M12" i="21" s="1"/>
  <c r="I97" i="40" l="1"/>
  <c r="J62" i="49" s="1"/>
  <c r="I95" i="40"/>
  <c r="I96" i="40"/>
  <c r="J61" i="49" s="1"/>
  <c r="N16" i="49"/>
  <c r="M33" i="40"/>
  <c r="N18" i="49" s="1"/>
  <c r="N51" i="40"/>
  <c r="N23" i="40" s="1"/>
  <c r="O51" i="40"/>
  <c r="M62" i="40"/>
  <c r="I92" i="21"/>
  <c r="J59" i="44" s="1"/>
  <c r="I93" i="21"/>
  <c r="J60" i="44" s="1"/>
  <c r="I95" i="21"/>
  <c r="J62" i="44" s="1"/>
  <c r="I94" i="21"/>
  <c r="J61" i="44" s="1"/>
  <c r="J10" i="49"/>
  <c r="I67" i="40"/>
  <c r="I58" i="40" s="1"/>
  <c r="I57" i="40" s="1"/>
  <c r="I78" i="40"/>
  <c r="I26" i="35" s="1"/>
  <c r="I77" i="40"/>
  <c r="J6" i="49" s="1"/>
  <c r="K48" i="44"/>
  <c r="J67" i="9"/>
  <c r="K45" i="49" s="1"/>
  <c r="J83" i="9"/>
  <c r="J84" i="9" s="1"/>
  <c r="J70" i="21"/>
  <c r="J5" i="44"/>
  <c r="J6" i="44"/>
  <c r="I19" i="35"/>
  <c r="I93" i="40" l="1"/>
  <c r="J102" i="40" s="1"/>
  <c r="J103" i="40" s="1"/>
  <c r="J60" i="49"/>
  <c r="I91" i="21"/>
  <c r="I96" i="21" s="1"/>
  <c r="O23" i="40"/>
  <c r="P23" i="40" s="1"/>
  <c r="N30" i="40"/>
  <c r="N62" i="40" s="1"/>
  <c r="N24" i="40"/>
  <c r="N8" i="49"/>
  <c r="M59" i="40"/>
  <c r="J5" i="49"/>
  <c r="J69" i="40"/>
  <c r="J70" i="40"/>
  <c r="J92" i="9"/>
  <c r="J90" i="9"/>
  <c r="J89" i="9"/>
  <c r="J91" i="9"/>
  <c r="K45" i="44"/>
  <c r="J66" i="9"/>
  <c r="J57" i="9" s="1"/>
  <c r="J56" i="9" s="1"/>
  <c r="J76" i="9"/>
  <c r="J77" i="9"/>
  <c r="I97" i="21" l="1"/>
  <c r="J100" i="21"/>
  <c r="J101" i="21" s="1"/>
  <c r="J99" i="21" s="1"/>
  <c r="I99" i="40"/>
  <c r="I98" i="40"/>
  <c r="K41" i="49"/>
  <c r="Q23" i="40"/>
  <c r="P30" i="40"/>
  <c r="P62" i="40" s="1"/>
  <c r="N33" i="40"/>
  <c r="O18" i="49" s="1"/>
  <c r="O16" i="49"/>
  <c r="O8" i="49"/>
  <c r="N59" i="40"/>
  <c r="O24" i="40"/>
  <c r="O30" i="40"/>
  <c r="O62" i="40" s="1"/>
  <c r="P24" i="40"/>
  <c r="J101" i="40"/>
  <c r="K42" i="44"/>
  <c r="K42" i="49"/>
  <c r="J88" i="9"/>
  <c r="K97" i="9" s="1"/>
  <c r="K98" i="9" s="1"/>
  <c r="K96" i="9" s="1"/>
  <c r="K35" i="9" s="1"/>
  <c r="K41" i="44"/>
  <c r="K69" i="9"/>
  <c r="K68" i="9"/>
  <c r="J36" i="21"/>
  <c r="Q8" i="49" l="1"/>
  <c r="P59" i="40"/>
  <c r="R23" i="40"/>
  <c r="Q24" i="40"/>
  <c r="Q30" i="40"/>
  <c r="Q62" i="40" s="1"/>
  <c r="P33" i="40"/>
  <c r="Q18" i="49" s="1"/>
  <c r="Q16" i="49"/>
  <c r="O33" i="40"/>
  <c r="P18" i="49" s="1"/>
  <c r="P16" i="49"/>
  <c r="P8" i="49"/>
  <c r="O59" i="40"/>
  <c r="J106" i="40"/>
  <c r="J92" i="40" s="1"/>
  <c r="J36" i="40"/>
  <c r="J94" i="9"/>
  <c r="J93" i="9"/>
  <c r="L48" i="44"/>
  <c r="L48" i="49"/>
  <c r="K67" i="9"/>
  <c r="L45" i="49" s="1"/>
  <c r="K101" i="9"/>
  <c r="K87" i="9" s="1"/>
  <c r="K13" i="44"/>
  <c r="K58" i="49" l="1"/>
  <c r="Q33" i="40"/>
  <c r="R18" i="49" s="1"/>
  <c r="R16" i="49"/>
  <c r="S23" i="40"/>
  <c r="R24" i="40"/>
  <c r="R30" i="40"/>
  <c r="R62" i="40" s="1"/>
  <c r="R8" i="49"/>
  <c r="Q59" i="40"/>
  <c r="J68" i="40"/>
  <c r="K13" i="49"/>
  <c r="J87" i="40"/>
  <c r="J88" i="40" s="1"/>
  <c r="J95" i="40" s="1"/>
  <c r="K60" i="49" s="1"/>
  <c r="L45" i="44"/>
  <c r="K76" i="9"/>
  <c r="L42" i="44" s="1"/>
  <c r="K77" i="9"/>
  <c r="K66" i="9"/>
  <c r="K57" i="9" s="1"/>
  <c r="K56" i="9" s="1"/>
  <c r="K83" i="9"/>
  <c r="J79" i="21"/>
  <c r="D81" i="21" s="1"/>
  <c r="J13" i="21"/>
  <c r="J20" i="35"/>
  <c r="J52" i="21"/>
  <c r="J60" i="21"/>
  <c r="K7" i="44"/>
  <c r="J18" i="35"/>
  <c r="J50" i="21"/>
  <c r="J23" i="21" l="1"/>
  <c r="L41" i="49"/>
  <c r="L42" i="49"/>
  <c r="S8" i="49"/>
  <c r="R59" i="40"/>
  <c r="R33" i="40"/>
  <c r="S18" i="49" s="1"/>
  <c r="S16" i="49"/>
  <c r="T23" i="40"/>
  <c r="S30" i="40"/>
  <c r="S62" i="40" s="1"/>
  <c r="S24" i="40"/>
  <c r="J94" i="40"/>
  <c r="J97" i="40"/>
  <c r="K62" i="49" s="1"/>
  <c r="J96" i="40"/>
  <c r="K61" i="49" s="1"/>
  <c r="L41" i="44"/>
  <c r="K10" i="49"/>
  <c r="J78" i="40"/>
  <c r="J26" i="35" s="1"/>
  <c r="J67" i="40"/>
  <c r="J58" i="40" s="1"/>
  <c r="J57" i="40" s="1"/>
  <c r="J77" i="40"/>
  <c r="K6" i="49" s="1"/>
  <c r="L69" i="9"/>
  <c r="L68" i="9"/>
  <c r="K92" i="9"/>
  <c r="K84" i="9"/>
  <c r="K89" i="9" s="1"/>
  <c r="K91" i="9"/>
  <c r="J93" i="40" l="1"/>
  <c r="K59" i="49"/>
  <c r="K90" i="9"/>
  <c r="K88" i="9" s="1"/>
  <c r="L97" i="9" s="1"/>
  <c r="L98" i="9" s="1"/>
  <c r="L96" i="9" s="1"/>
  <c r="S33" i="40"/>
  <c r="T18" i="49" s="1"/>
  <c r="T16" i="49"/>
  <c r="T8" i="49"/>
  <c r="S59" i="40"/>
  <c r="U23" i="40"/>
  <c r="T24" i="40"/>
  <c r="T30" i="40"/>
  <c r="T62" i="40" s="1"/>
  <c r="K102" i="40"/>
  <c r="J98" i="40"/>
  <c r="J99" i="40"/>
  <c r="K70" i="40"/>
  <c r="K5" i="49"/>
  <c r="K69" i="40"/>
  <c r="J30" i="21"/>
  <c r="K51" i="21" s="1"/>
  <c r="J24" i="21"/>
  <c r="K94" i="9" l="1"/>
  <c r="K93" i="9"/>
  <c r="K103" i="40"/>
  <c r="V23" i="40"/>
  <c r="U24" i="40"/>
  <c r="U30" i="40"/>
  <c r="U62" i="40" s="1"/>
  <c r="U8" i="49"/>
  <c r="T59" i="40"/>
  <c r="U16" i="49"/>
  <c r="T33" i="40"/>
  <c r="U18" i="49" s="1"/>
  <c r="K101" i="40"/>
  <c r="L35" i="9"/>
  <c r="M48" i="49" s="1"/>
  <c r="L101" i="9"/>
  <c r="L87" i="9" s="1"/>
  <c r="J33" i="21"/>
  <c r="K16" i="44"/>
  <c r="J104" i="21"/>
  <c r="J62" i="21"/>
  <c r="V8" i="49" l="1"/>
  <c r="U59" i="40"/>
  <c r="U33" i="40"/>
  <c r="V18" i="49" s="1"/>
  <c r="V16" i="49"/>
  <c r="W23" i="40"/>
  <c r="V24" i="40"/>
  <c r="V30" i="40"/>
  <c r="V62" i="40" s="1"/>
  <c r="K36" i="40"/>
  <c r="K106" i="40"/>
  <c r="K92" i="40" s="1"/>
  <c r="L83" i="9"/>
  <c r="L92" i="9" s="1"/>
  <c r="M48" i="44"/>
  <c r="L67" i="9"/>
  <c r="M45" i="49" s="1"/>
  <c r="K18" i="44"/>
  <c r="J68" i="21"/>
  <c r="K8" i="44"/>
  <c r="J59" i="21"/>
  <c r="J90" i="21"/>
  <c r="J69" i="21"/>
  <c r="L58" i="49" l="1"/>
  <c r="V33" i="40"/>
  <c r="W18" i="49" s="1"/>
  <c r="W16" i="49"/>
  <c r="W30" i="40"/>
  <c r="W62" i="40" s="1"/>
  <c r="W24" i="40"/>
  <c r="V59" i="40"/>
  <c r="W8" i="49"/>
  <c r="K87" i="40"/>
  <c r="K88" i="40" s="1"/>
  <c r="K94" i="40" s="1"/>
  <c r="L59" i="49" s="1"/>
  <c r="K68" i="40"/>
  <c r="L13" i="49"/>
  <c r="L91" i="9"/>
  <c r="L90" i="9"/>
  <c r="L89" i="9"/>
  <c r="L77" i="9"/>
  <c r="M45" i="44"/>
  <c r="L76" i="9"/>
  <c r="L66" i="9"/>
  <c r="L57" i="9" s="1"/>
  <c r="L56" i="9" s="1"/>
  <c r="L84" i="9"/>
  <c r="J77" i="21"/>
  <c r="J67" i="21"/>
  <c r="J58" i="21" s="1"/>
  <c r="J57" i="21" s="1"/>
  <c r="K10" i="44"/>
  <c r="J78" i="21"/>
  <c r="J85" i="21"/>
  <c r="J86" i="21" s="1"/>
  <c r="K58" i="44"/>
  <c r="M41" i="49" l="1"/>
  <c r="X16" i="49"/>
  <c r="W33" i="40"/>
  <c r="X18" i="49" s="1"/>
  <c r="X8" i="49"/>
  <c r="W59" i="40"/>
  <c r="K97" i="40"/>
  <c r="L62" i="49" s="1"/>
  <c r="L88" i="9"/>
  <c r="L93" i="9" s="1"/>
  <c r="K95" i="40"/>
  <c r="K96" i="40"/>
  <c r="L61" i="49" s="1"/>
  <c r="K78" i="40"/>
  <c r="K26" i="35" s="1"/>
  <c r="K67" i="40"/>
  <c r="K58" i="40" s="1"/>
  <c r="K57" i="40" s="1"/>
  <c r="K77" i="40"/>
  <c r="L6" i="49" s="1"/>
  <c r="L10" i="49"/>
  <c r="M42" i="44"/>
  <c r="M42" i="49"/>
  <c r="M68" i="9"/>
  <c r="M69" i="9"/>
  <c r="M41" i="44"/>
  <c r="K5" i="44"/>
  <c r="K70" i="21"/>
  <c r="J19" i="35"/>
  <c r="K6" i="44"/>
  <c r="J94" i="21"/>
  <c r="K61" i="44" s="1"/>
  <c r="J92" i="21"/>
  <c r="K59" i="44" s="1"/>
  <c r="J95" i="21"/>
  <c r="K62" i="44" s="1"/>
  <c r="J93" i="21"/>
  <c r="K93" i="40" l="1"/>
  <c r="L102" i="40" s="1"/>
  <c r="L60" i="49"/>
  <c r="M97" i="9"/>
  <c r="M98" i="9" s="1"/>
  <c r="M96" i="9" s="1"/>
  <c r="M101" i="9" s="1"/>
  <c r="M87" i="9" s="1"/>
  <c r="L94" i="9"/>
  <c r="K99" i="40"/>
  <c r="K98" i="40"/>
  <c r="L5" i="49"/>
  <c r="L70" i="40"/>
  <c r="L69" i="40"/>
  <c r="K83" i="40"/>
  <c r="M35" i="9"/>
  <c r="N48" i="49" s="1"/>
  <c r="K60" i="44"/>
  <c r="J91" i="21"/>
  <c r="K100" i="21" s="1"/>
  <c r="L103" i="40" l="1"/>
  <c r="M67" i="9"/>
  <c r="N45" i="49" s="1"/>
  <c r="N48" i="44"/>
  <c r="M83" i="9"/>
  <c r="K101" i="21"/>
  <c r="K99" i="21" s="1"/>
  <c r="J97" i="21"/>
  <c r="J96" i="21"/>
  <c r="L101" i="40" l="1"/>
  <c r="M84" i="9"/>
  <c r="M90" i="9" s="1"/>
  <c r="M92" i="9"/>
  <c r="M91" i="9"/>
  <c r="M66" i="9"/>
  <c r="M57" i="9" s="1"/>
  <c r="M56" i="9" s="1"/>
  <c r="M76" i="9"/>
  <c r="M77" i="9"/>
  <c r="N45" i="44"/>
  <c r="K36" i="21"/>
  <c r="M89" i="9" l="1"/>
  <c r="M88" i="9" s="1"/>
  <c r="N41" i="49"/>
  <c r="L106" i="40"/>
  <c r="L92" i="40" s="1"/>
  <c r="L36" i="40"/>
  <c r="N42" i="44"/>
  <c r="N42" i="49"/>
  <c r="N41" i="44"/>
  <c r="N68" i="9"/>
  <c r="N69" i="9"/>
  <c r="L13" i="44"/>
  <c r="M58" i="49" l="1"/>
  <c r="M94" i="9"/>
  <c r="M93" i="9"/>
  <c r="N97" i="9"/>
  <c r="N98" i="9" s="1"/>
  <c r="N96" i="9" s="1"/>
  <c r="N35" i="9" s="1"/>
  <c r="O48" i="49" s="1"/>
  <c r="K50" i="21"/>
  <c r="K79" i="21"/>
  <c r="K13" i="21"/>
  <c r="K18" i="35"/>
  <c r="K52" i="21"/>
  <c r="L7" i="44"/>
  <c r="K60" i="21"/>
  <c r="M13" i="49"/>
  <c r="L68" i="40"/>
  <c r="L87" i="40"/>
  <c r="L88" i="40" s="1"/>
  <c r="L94" i="40" s="1"/>
  <c r="M59" i="49" s="1"/>
  <c r="N101" i="9"/>
  <c r="N87" i="9" s="1"/>
  <c r="K23" i="21" l="1"/>
  <c r="L97" i="40"/>
  <c r="M62" i="49" s="1"/>
  <c r="L96" i="40"/>
  <c r="M61" i="49" s="1"/>
  <c r="L95" i="40"/>
  <c r="L78" i="40"/>
  <c r="L26" i="35" s="1"/>
  <c r="M10" i="49"/>
  <c r="L77" i="40"/>
  <c r="M6" i="49" s="1"/>
  <c r="L67" i="40"/>
  <c r="L58" i="40" s="1"/>
  <c r="L57" i="40" s="1"/>
  <c r="O48" i="44"/>
  <c r="N67" i="9"/>
  <c r="O45" i="49" s="1"/>
  <c r="N83" i="9"/>
  <c r="N91" i="9" s="1"/>
  <c r="L93" i="40" l="1"/>
  <c r="M60" i="49"/>
  <c r="K24" i="21"/>
  <c r="K30" i="21"/>
  <c r="L98" i="40"/>
  <c r="M102" i="40"/>
  <c r="L99" i="40"/>
  <c r="L83" i="40"/>
  <c r="M5" i="49"/>
  <c r="M70" i="40"/>
  <c r="M69" i="40"/>
  <c r="N92" i="9"/>
  <c r="N84" i="9"/>
  <c r="N89" i="9" s="1"/>
  <c r="O45" i="44"/>
  <c r="N77" i="9"/>
  <c r="N66" i="9"/>
  <c r="N57" i="9" s="1"/>
  <c r="N56" i="9" s="1"/>
  <c r="N76" i="9"/>
  <c r="O41" i="49" l="1"/>
  <c r="N90" i="9"/>
  <c r="N88" i="9" s="1"/>
  <c r="K62" i="21"/>
  <c r="L51" i="21"/>
  <c r="L16" i="44"/>
  <c r="K33" i="21"/>
  <c r="K69" i="21" s="1"/>
  <c r="K104" i="21"/>
  <c r="M103" i="40"/>
  <c r="O42" i="44"/>
  <c r="O42" i="49"/>
  <c r="O68" i="9"/>
  <c r="O69" i="9"/>
  <c r="O41" i="44"/>
  <c r="K90" i="21" l="1"/>
  <c r="L8" i="44"/>
  <c r="K59" i="21"/>
  <c r="L18" i="44"/>
  <c r="K68" i="21"/>
  <c r="L58" i="44"/>
  <c r="K85" i="21"/>
  <c r="K86" i="21" s="1"/>
  <c r="M101" i="40"/>
  <c r="N93" i="9"/>
  <c r="O97" i="9"/>
  <c r="O98" i="9" s="1"/>
  <c r="O96" i="9" s="1"/>
  <c r="N94" i="9"/>
  <c r="K94" i="21" l="1"/>
  <c r="L61" i="44" s="1"/>
  <c r="K92" i="21"/>
  <c r="L59" i="44" s="1"/>
  <c r="K95" i="21"/>
  <c r="L62" i="44" s="1"/>
  <c r="K93" i="21"/>
  <c r="K67" i="21"/>
  <c r="K58" i="21" s="1"/>
  <c r="K57" i="21" s="1"/>
  <c r="L10" i="44"/>
  <c r="K78" i="21"/>
  <c r="K77" i="21"/>
  <c r="M36" i="40"/>
  <c r="M106" i="40"/>
  <c r="M92" i="40" s="1"/>
  <c r="O101" i="9"/>
  <c r="O87" i="9" s="1"/>
  <c r="O35" i="9"/>
  <c r="P48" i="49" s="1"/>
  <c r="N58" i="49" l="1"/>
  <c r="L6" i="44"/>
  <c r="K19" i="35"/>
  <c r="L70" i="21"/>
  <c r="L5" i="44"/>
  <c r="L60" i="44"/>
  <c r="K91" i="21"/>
  <c r="K96" i="21" s="1"/>
  <c r="M87" i="40"/>
  <c r="M88" i="40" s="1"/>
  <c r="M95" i="40" s="1"/>
  <c r="N60" i="49" s="1"/>
  <c r="N13" i="49"/>
  <c r="M68" i="40"/>
  <c r="P48" i="44"/>
  <c r="O67" i="9"/>
  <c r="P45" i="49" s="1"/>
  <c r="O83" i="9"/>
  <c r="L100" i="21" l="1"/>
  <c r="L101" i="21" s="1"/>
  <c r="L99" i="21" s="1"/>
  <c r="K97" i="21"/>
  <c r="M96" i="40"/>
  <c r="N61" i="49" s="1"/>
  <c r="M94" i="40"/>
  <c r="M97" i="40"/>
  <c r="N62" i="49" s="1"/>
  <c r="M78" i="40"/>
  <c r="M26" i="35" s="1"/>
  <c r="M67" i="40"/>
  <c r="M58" i="40" s="1"/>
  <c r="M57" i="40" s="1"/>
  <c r="N10" i="49"/>
  <c r="M77" i="40"/>
  <c r="N6" i="49" s="1"/>
  <c r="O84" i="9"/>
  <c r="O89" i="9" s="1"/>
  <c r="O91" i="9"/>
  <c r="O92" i="9"/>
  <c r="O76" i="9"/>
  <c r="O66" i="9"/>
  <c r="O57" i="9" s="1"/>
  <c r="O56" i="9" s="1"/>
  <c r="P45" i="44"/>
  <c r="O77" i="9"/>
  <c r="M93" i="40" l="1"/>
  <c r="M99" i="40" s="1"/>
  <c r="N59" i="49"/>
  <c r="P41" i="49"/>
  <c r="O90" i="9"/>
  <c r="O88" i="9" s="1"/>
  <c r="L36" i="21"/>
  <c r="N5" i="49"/>
  <c r="N69" i="40"/>
  <c r="M83" i="40"/>
  <c r="N70" i="40"/>
  <c r="P42" i="44"/>
  <c r="P42" i="49"/>
  <c r="P41" i="44"/>
  <c r="P69" i="9"/>
  <c r="P68" i="9"/>
  <c r="M98" i="40" l="1"/>
  <c r="N102" i="40"/>
  <c r="N103" i="40" s="1"/>
  <c r="M13" i="44"/>
  <c r="N101" i="40"/>
  <c r="O93" i="9"/>
  <c r="O94" i="9"/>
  <c r="P97" i="9"/>
  <c r="P98" i="9" s="1"/>
  <c r="P96" i="9" s="1"/>
  <c r="L60" i="21" l="1"/>
  <c r="L13" i="21"/>
  <c r="L52" i="21"/>
  <c r="M7" i="44"/>
  <c r="L50" i="21"/>
  <c r="L79" i="21"/>
  <c r="L18" i="35"/>
  <c r="N106" i="40"/>
  <c r="N92" i="40" s="1"/>
  <c r="N36" i="40"/>
  <c r="P35" i="9"/>
  <c r="Q48" i="49" s="1"/>
  <c r="P101" i="9"/>
  <c r="P87" i="9" s="1"/>
  <c r="O58" i="49" l="1"/>
  <c r="L23" i="21"/>
  <c r="O13" i="49"/>
  <c r="N68" i="40"/>
  <c r="N87" i="40"/>
  <c r="N97" i="40" s="1"/>
  <c r="O62" i="49" s="1"/>
  <c r="P83" i="9"/>
  <c r="Q48" i="44"/>
  <c r="P67" i="9"/>
  <c r="Q45" i="49" s="1"/>
  <c r="L30" i="21" l="1"/>
  <c r="L24" i="21"/>
  <c r="N96" i="40"/>
  <c r="O61" i="49" s="1"/>
  <c r="N88" i="40"/>
  <c r="N94" i="40" s="1"/>
  <c r="O59" i="49" s="1"/>
  <c r="O10" i="49"/>
  <c r="N77" i="40"/>
  <c r="O6" i="49" s="1"/>
  <c r="N78" i="40"/>
  <c r="N67" i="40"/>
  <c r="N58" i="40" s="1"/>
  <c r="N57" i="40" s="1"/>
  <c r="P77" i="9"/>
  <c r="Q45" i="44"/>
  <c r="P66" i="9"/>
  <c r="P57" i="9" s="1"/>
  <c r="P56" i="9" s="1"/>
  <c r="P76" i="9"/>
  <c r="P84" i="9"/>
  <c r="P89" i="9" s="1"/>
  <c r="P91" i="9"/>
  <c r="P92" i="9"/>
  <c r="N95" i="40" l="1"/>
  <c r="Q41" i="49"/>
  <c r="P90" i="9"/>
  <c r="P88" i="9" s="1"/>
  <c r="L33" i="21"/>
  <c r="L69" i="21" s="1"/>
  <c r="M16" i="44"/>
  <c r="L104" i="21"/>
  <c r="L62" i="21"/>
  <c r="M51" i="21"/>
  <c r="N83" i="40"/>
  <c r="O5" i="49"/>
  <c r="O70" i="40"/>
  <c r="O69" i="40"/>
  <c r="Q42" i="44"/>
  <c r="Q42" i="49"/>
  <c r="Q68" i="9"/>
  <c r="Q69" i="9"/>
  <c r="Q41" i="44"/>
  <c r="N93" i="40" l="1"/>
  <c r="O60" i="49"/>
  <c r="N99" i="40"/>
  <c r="O102" i="40"/>
  <c r="N98" i="40"/>
  <c r="Q97" i="9"/>
  <c r="Q98" i="9" s="1"/>
  <c r="Q96" i="9" s="1"/>
  <c r="Q101" i="9" s="1"/>
  <c r="Q87" i="9" s="1"/>
  <c r="P94" i="9"/>
  <c r="P93" i="9"/>
  <c r="M8" i="44"/>
  <c r="L59" i="21"/>
  <c r="L90" i="21"/>
  <c r="M18" i="44"/>
  <c r="L68" i="21"/>
  <c r="Q35" i="9" l="1"/>
  <c r="R48" i="49" s="1"/>
  <c r="O103" i="40"/>
  <c r="O101" i="40" s="1"/>
  <c r="M10" i="44"/>
  <c r="L67" i="21"/>
  <c r="L58" i="21" s="1"/>
  <c r="L57" i="21" s="1"/>
  <c r="L78" i="21"/>
  <c r="L77" i="21"/>
  <c r="M58" i="44"/>
  <c r="L85" i="21"/>
  <c r="L86" i="21" s="1"/>
  <c r="Q67" i="9"/>
  <c r="R45" i="49" s="1"/>
  <c r="Q83" i="9"/>
  <c r="R48" i="44"/>
  <c r="L93" i="21" l="1"/>
  <c r="M60" i="44" s="1"/>
  <c r="L92" i="21"/>
  <c r="M59" i="44" s="1"/>
  <c r="L95" i="21"/>
  <c r="M62" i="44" s="1"/>
  <c r="L94" i="21"/>
  <c r="M61" i="44" s="1"/>
  <c r="R45" i="44"/>
  <c r="Q77" i="9"/>
  <c r="Q66" i="9"/>
  <c r="Q57" i="9" s="1"/>
  <c r="Q56" i="9" s="1"/>
  <c r="R68" i="9" s="1"/>
  <c r="Q76" i="9"/>
  <c r="R42" i="49" s="1"/>
  <c r="Q92" i="9"/>
  <c r="M6" i="44"/>
  <c r="L19" i="35"/>
  <c r="M5" i="44"/>
  <c r="M70" i="21"/>
  <c r="Q91" i="9"/>
  <c r="Q84" i="9"/>
  <c r="Q90" i="9" s="1"/>
  <c r="O106" i="40"/>
  <c r="O92" i="40" s="1"/>
  <c r="O36" i="40"/>
  <c r="P58" i="49" l="1"/>
  <c r="L91" i="21"/>
  <c r="R41" i="44"/>
  <c r="R69" i="9"/>
  <c r="Q89" i="9"/>
  <c r="Q88" i="9" s="1"/>
  <c r="R97" i="9" s="1"/>
  <c r="R98" i="9" s="1"/>
  <c r="R96" i="9" s="1"/>
  <c r="R42" i="44"/>
  <c r="R41" i="49"/>
  <c r="M100" i="21"/>
  <c r="M101" i="21" s="1"/>
  <c r="M99" i="21" s="1"/>
  <c r="L96" i="21"/>
  <c r="L97" i="21"/>
  <c r="P13" i="49"/>
  <c r="O68" i="40"/>
  <c r="O87" i="40"/>
  <c r="O88" i="40" s="1"/>
  <c r="O95" i="40" s="1"/>
  <c r="P60" i="49" s="1"/>
  <c r="Q94" i="9" l="1"/>
  <c r="Q93" i="9"/>
  <c r="R35" i="9"/>
  <c r="S48" i="49" s="1"/>
  <c r="R101" i="9"/>
  <c r="R87" i="9" s="1"/>
  <c r="O94" i="40"/>
  <c r="M36" i="21"/>
  <c r="O97" i="40"/>
  <c r="P62" i="49" s="1"/>
  <c r="O96" i="40"/>
  <c r="P61" i="49" s="1"/>
  <c r="O78" i="40"/>
  <c r="O67" i="40"/>
  <c r="O58" i="40" s="1"/>
  <c r="O57" i="40" s="1"/>
  <c r="P10" i="49"/>
  <c r="O77" i="40"/>
  <c r="P6" i="49" s="1"/>
  <c r="O93" i="40" l="1"/>
  <c r="P59" i="49"/>
  <c r="S48" i="44"/>
  <c r="R67" i="9"/>
  <c r="S45" i="49" s="1"/>
  <c r="R83" i="9"/>
  <c r="R91" i="9" s="1"/>
  <c r="N13" i="44"/>
  <c r="O98" i="40"/>
  <c r="P102" i="40"/>
  <c r="P103" i="40" s="1"/>
  <c r="O99" i="40"/>
  <c r="P5" i="49"/>
  <c r="P70" i="40"/>
  <c r="P69" i="40"/>
  <c r="O83" i="40"/>
  <c r="R66" i="9"/>
  <c r="R57" i="9" s="1"/>
  <c r="R56" i="9" s="1"/>
  <c r="S45" i="44"/>
  <c r="R76" i="9" l="1"/>
  <c r="R77" i="9"/>
  <c r="R84" i="9"/>
  <c r="R89" i="9" s="1"/>
  <c r="R92" i="9"/>
  <c r="S41" i="49"/>
  <c r="R90" i="9"/>
  <c r="R88" i="9" s="1"/>
  <c r="R93" i="9" s="1"/>
  <c r="M60" i="21"/>
  <c r="M13" i="21"/>
  <c r="N7" i="44"/>
  <c r="N12" i="21"/>
  <c r="M79" i="21"/>
  <c r="M52" i="21"/>
  <c r="M18" i="35"/>
  <c r="J12" i="35" s="1"/>
  <c r="M50" i="21"/>
  <c r="P101" i="40"/>
  <c r="S42" i="44"/>
  <c r="S42" i="49"/>
  <c r="S68" i="9"/>
  <c r="S69" i="9"/>
  <c r="S41" i="44"/>
  <c r="N60" i="21" l="1"/>
  <c r="O12" i="21"/>
  <c r="N52" i="21"/>
  <c r="N79" i="21"/>
  <c r="N50" i="21"/>
  <c r="O7" i="44"/>
  <c r="N13" i="21"/>
  <c r="M23" i="21"/>
  <c r="P36" i="40"/>
  <c r="P106" i="40"/>
  <c r="P92" i="40" s="1"/>
  <c r="R94" i="9"/>
  <c r="S97" i="9"/>
  <c r="S98" i="9" s="1"/>
  <c r="S96" i="9" s="1"/>
  <c r="Q58" i="49" l="1"/>
  <c r="O60" i="21"/>
  <c r="P12" i="21"/>
  <c r="O13" i="21"/>
  <c r="P7" i="44"/>
  <c r="O79" i="21"/>
  <c r="O50" i="21"/>
  <c r="O52" i="21"/>
  <c r="M24" i="21"/>
  <c r="M30" i="21"/>
  <c r="O51" i="21" s="1"/>
  <c r="P87" i="40"/>
  <c r="P88" i="40" s="1"/>
  <c r="P95" i="40" s="1"/>
  <c r="Q60" i="49" s="1"/>
  <c r="Q13" i="49"/>
  <c r="P68" i="40"/>
  <c r="S35" i="9"/>
  <c r="T48" i="49" s="1"/>
  <c r="S101" i="9"/>
  <c r="S87" i="9" s="1"/>
  <c r="P51" i="21" l="1"/>
  <c r="M33" i="21"/>
  <c r="M69" i="21" s="1"/>
  <c r="N16" i="44"/>
  <c r="M104" i="21"/>
  <c r="P52" i="21"/>
  <c r="Q12" i="21"/>
  <c r="P79" i="21"/>
  <c r="P60" i="21"/>
  <c r="P50" i="21"/>
  <c r="P13" i="21"/>
  <c r="Q7" i="44"/>
  <c r="M62" i="21"/>
  <c r="N51" i="21"/>
  <c r="N23" i="21" s="1"/>
  <c r="P96" i="40"/>
  <c r="Q61" i="49" s="1"/>
  <c r="P97" i="40"/>
  <c r="Q62" i="49" s="1"/>
  <c r="P94" i="40"/>
  <c r="Q10" i="49"/>
  <c r="P67" i="40"/>
  <c r="P58" i="40" s="1"/>
  <c r="P57" i="40" s="1"/>
  <c r="P77" i="40"/>
  <c r="Q6" i="49" s="1"/>
  <c r="P78" i="40"/>
  <c r="S83" i="9"/>
  <c r="T48" i="44"/>
  <c r="S67" i="9"/>
  <c r="T45" i="49" s="1"/>
  <c r="P93" i="40" l="1"/>
  <c r="Q59" i="49"/>
  <c r="M90" i="21"/>
  <c r="N58" i="44" s="1"/>
  <c r="Q51" i="21"/>
  <c r="N18" i="44"/>
  <c r="M68" i="21"/>
  <c r="N30" i="21"/>
  <c r="N62" i="21" s="1"/>
  <c r="N24" i="21"/>
  <c r="Q60" i="21"/>
  <c r="R7" i="44"/>
  <c r="Q13" i="21"/>
  <c r="Q52" i="21"/>
  <c r="Q79" i="21"/>
  <c r="Q50" i="21"/>
  <c r="R12" i="21"/>
  <c r="N8" i="44"/>
  <c r="M59" i="21"/>
  <c r="O23" i="21"/>
  <c r="P23" i="21" s="1"/>
  <c r="P99" i="40"/>
  <c r="Q102" i="40"/>
  <c r="P98" i="40"/>
  <c r="Q70" i="40"/>
  <c r="Q69" i="40"/>
  <c r="Q5" i="49"/>
  <c r="P83" i="40"/>
  <c r="S90" i="9"/>
  <c r="S91" i="9"/>
  <c r="S92" i="9"/>
  <c r="S77" i="9"/>
  <c r="S76" i="9"/>
  <c r="S66" i="9"/>
  <c r="S57" i="9" s="1"/>
  <c r="S56" i="9" s="1"/>
  <c r="T45" i="44"/>
  <c r="S84" i="9"/>
  <c r="S89" i="9" s="1"/>
  <c r="S88" i="9" l="1"/>
  <c r="M85" i="21"/>
  <c r="M86" i="21" s="1"/>
  <c r="T41" i="49"/>
  <c r="M77" i="21"/>
  <c r="M93" i="21"/>
  <c r="N60" i="44" s="1"/>
  <c r="M92" i="21"/>
  <c r="N59" i="44" s="1"/>
  <c r="M95" i="21"/>
  <c r="N62" i="44" s="1"/>
  <c r="N6" i="44"/>
  <c r="M94" i="21"/>
  <c r="N61" i="44" s="1"/>
  <c r="O8" i="44"/>
  <c r="N59" i="21"/>
  <c r="N10" i="44"/>
  <c r="M67" i="21"/>
  <c r="M58" i="21" s="1"/>
  <c r="M57" i="21" s="1"/>
  <c r="M78" i="21"/>
  <c r="O24" i="21"/>
  <c r="O30" i="21"/>
  <c r="O62" i="21" s="1"/>
  <c r="S7" i="44"/>
  <c r="R52" i="21"/>
  <c r="R60" i="21"/>
  <c r="S12" i="21"/>
  <c r="R79" i="21"/>
  <c r="R13" i="21"/>
  <c r="R50" i="21"/>
  <c r="Q23" i="21"/>
  <c r="R51" i="21"/>
  <c r="P30" i="21"/>
  <c r="P62" i="21" s="1"/>
  <c r="P24" i="21"/>
  <c r="O16" i="44"/>
  <c r="N33" i="21"/>
  <c r="O18" i="44" s="1"/>
  <c r="Q103" i="40"/>
  <c r="T42" i="44"/>
  <c r="T42" i="49"/>
  <c r="S93" i="9"/>
  <c r="S94" i="9"/>
  <c r="T97" i="9"/>
  <c r="T98" i="9" s="1"/>
  <c r="T96" i="9" s="1"/>
  <c r="T68" i="9"/>
  <c r="T41" i="44"/>
  <c r="T69" i="9"/>
  <c r="M91" i="21" l="1"/>
  <c r="M96" i="21" s="1"/>
  <c r="O33" i="21"/>
  <c r="P18" i="44" s="1"/>
  <c r="P16" i="44"/>
  <c r="Q8" i="44"/>
  <c r="P59" i="21"/>
  <c r="S52" i="21"/>
  <c r="S13" i="21"/>
  <c r="S79" i="21"/>
  <c r="T7" i="44"/>
  <c r="T12" i="21"/>
  <c r="S60" i="21"/>
  <c r="S50" i="21"/>
  <c r="M19" i="35"/>
  <c r="Q16" i="44"/>
  <c r="P33" i="21"/>
  <c r="Q18" i="44" s="1"/>
  <c r="Q24" i="21"/>
  <c r="Q30" i="21"/>
  <c r="Q62" i="21" s="1"/>
  <c r="P8" i="44"/>
  <c r="O59" i="21"/>
  <c r="N5" i="44"/>
  <c r="N70" i="21"/>
  <c r="N69" i="21"/>
  <c r="S51" i="21"/>
  <c r="R23" i="21"/>
  <c r="Q101" i="40"/>
  <c r="T35" i="9"/>
  <c r="U48" i="49" s="1"/>
  <c r="T101" i="9"/>
  <c r="T87" i="9" s="1"/>
  <c r="M97" i="21" l="1"/>
  <c r="N100" i="21"/>
  <c r="N101" i="21" s="1"/>
  <c r="N99" i="21" s="1"/>
  <c r="R8" i="44"/>
  <c r="Q59" i="21"/>
  <c r="Q33" i="21"/>
  <c r="R18" i="44" s="1"/>
  <c r="R16" i="44"/>
  <c r="N104" i="21"/>
  <c r="N90" i="21" s="1"/>
  <c r="N36" i="21"/>
  <c r="R24" i="21"/>
  <c r="R30" i="21"/>
  <c r="R62" i="21" s="1"/>
  <c r="U7" i="44"/>
  <c r="T52" i="21"/>
  <c r="U12" i="21"/>
  <c r="T50" i="21"/>
  <c r="T79" i="21"/>
  <c r="T60" i="21"/>
  <c r="T13" i="21"/>
  <c r="T51" i="21"/>
  <c r="S23" i="21"/>
  <c r="Q36" i="40"/>
  <c r="Q106" i="40"/>
  <c r="Q92" i="40" s="1"/>
  <c r="T83" i="9"/>
  <c r="T67" i="9"/>
  <c r="U45" i="49" s="1"/>
  <c r="U48" i="44"/>
  <c r="R58" i="49" l="1"/>
  <c r="S24" i="21"/>
  <c r="S30" i="21"/>
  <c r="S62" i="21" s="1"/>
  <c r="S8" i="44"/>
  <c r="R59" i="21"/>
  <c r="T23" i="21"/>
  <c r="U51" i="21"/>
  <c r="U50" i="21"/>
  <c r="V12" i="21"/>
  <c r="U60" i="21"/>
  <c r="U79" i="21"/>
  <c r="U13" i="21"/>
  <c r="U52" i="21"/>
  <c r="V7" i="44"/>
  <c r="O13" i="44"/>
  <c r="N68" i="21"/>
  <c r="S16" i="44"/>
  <c r="R33" i="21"/>
  <c r="S18" i="44" s="1"/>
  <c r="N85" i="21"/>
  <c r="N86" i="21" s="1"/>
  <c r="O58" i="44"/>
  <c r="Q87" i="40"/>
  <c r="Q88" i="40" s="1"/>
  <c r="Q68" i="40"/>
  <c r="R13" i="49"/>
  <c r="T76" i="9"/>
  <c r="T66" i="9"/>
  <c r="T57" i="9" s="1"/>
  <c r="T56" i="9" s="1"/>
  <c r="T77" i="9"/>
  <c r="U45" i="44"/>
  <c r="T84" i="9"/>
  <c r="T89" i="9" s="1"/>
  <c r="T91" i="9"/>
  <c r="T90" i="9"/>
  <c r="T92" i="9"/>
  <c r="U41" i="49" l="1"/>
  <c r="T88" i="9"/>
  <c r="N94" i="21"/>
  <c r="O61" i="44" s="1"/>
  <c r="N93" i="21"/>
  <c r="O60" i="44" s="1"/>
  <c r="N95" i="21"/>
  <c r="O62" i="44" s="1"/>
  <c r="N92" i="21"/>
  <c r="V13" i="21"/>
  <c r="W7" i="44"/>
  <c r="V52" i="21"/>
  <c r="W12" i="21"/>
  <c r="V50" i="21"/>
  <c r="V60" i="21"/>
  <c r="V79" i="21"/>
  <c r="T24" i="21"/>
  <c r="T30" i="21"/>
  <c r="T62" i="21" s="1"/>
  <c r="O10" i="44"/>
  <c r="N67" i="21"/>
  <c r="N58" i="21" s="1"/>
  <c r="N57" i="21" s="1"/>
  <c r="N78" i="21"/>
  <c r="N77" i="21"/>
  <c r="U23" i="21"/>
  <c r="V51" i="21"/>
  <c r="T8" i="44"/>
  <c r="S59" i="21"/>
  <c r="T16" i="44"/>
  <c r="S33" i="21"/>
  <c r="T18" i="44" s="1"/>
  <c r="Q94" i="40"/>
  <c r="R59" i="49" s="1"/>
  <c r="Q95" i="40"/>
  <c r="R60" i="49" s="1"/>
  <c r="Q77" i="40"/>
  <c r="R6" i="49" s="1"/>
  <c r="Q78" i="40"/>
  <c r="Q67" i="40"/>
  <c r="Q58" i="40" s="1"/>
  <c r="Q57" i="40" s="1"/>
  <c r="R10" i="49"/>
  <c r="Q96" i="40"/>
  <c r="R61" i="49" s="1"/>
  <c r="Q97" i="40"/>
  <c r="R62" i="49" s="1"/>
  <c r="U42" i="44"/>
  <c r="U42" i="49"/>
  <c r="T93" i="9"/>
  <c r="T94" i="9"/>
  <c r="U97" i="9"/>
  <c r="U98" i="9" s="1"/>
  <c r="U96" i="9" s="1"/>
  <c r="U41" i="44"/>
  <c r="U69" i="9"/>
  <c r="U68" i="9"/>
  <c r="O59" i="44" l="1"/>
  <c r="N91" i="21"/>
  <c r="Q93" i="40"/>
  <c r="R102" i="40" s="1"/>
  <c r="W51" i="21"/>
  <c r="V23" i="21"/>
  <c r="O5" i="44"/>
  <c r="O69" i="21"/>
  <c r="O70" i="21"/>
  <c r="U8" i="44"/>
  <c r="T59" i="21"/>
  <c r="W52" i="21"/>
  <c r="W60" i="21"/>
  <c r="W13" i="21"/>
  <c r="W50" i="21"/>
  <c r="X7" i="44"/>
  <c r="W79" i="21"/>
  <c r="U16" i="44"/>
  <c r="T33" i="21"/>
  <c r="U18" i="44" s="1"/>
  <c r="U24" i="21"/>
  <c r="U30" i="21"/>
  <c r="U62" i="21" s="1"/>
  <c r="O6" i="44"/>
  <c r="R69" i="40"/>
  <c r="R5" i="49"/>
  <c r="R70" i="40"/>
  <c r="Q83" i="40"/>
  <c r="Q98" i="40"/>
  <c r="U101" i="9"/>
  <c r="U87" i="9" s="1"/>
  <c r="U35" i="9"/>
  <c r="V48" i="49" s="1"/>
  <c r="Q99" i="40" l="1"/>
  <c r="O100" i="21"/>
  <c r="O101" i="21" s="1"/>
  <c r="O99" i="21" s="1"/>
  <c r="N97" i="21"/>
  <c r="N96" i="21"/>
  <c r="V16" i="44"/>
  <c r="U33" i="21"/>
  <c r="V18" i="44" s="1"/>
  <c r="W23" i="21"/>
  <c r="V30" i="21"/>
  <c r="V62" i="21" s="1"/>
  <c r="V24" i="21"/>
  <c r="V8" i="44"/>
  <c r="U59" i="21"/>
  <c r="R103" i="40"/>
  <c r="V48" i="44"/>
  <c r="U67" i="9"/>
  <c r="V45" i="49" s="1"/>
  <c r="U83" i="9"/>
  <c r="O104" i="21" l="1"/>
  <c r="O90" i="21" s="1"/>
  <c r="O36" i="21"/>
  <c r="W30" i="21"/>
  <c r="W62" i="21" s="1"/>
  <c r="W24" i="21"/>
  <c r="W16" i="44"/>
  <c r="V33" i="21"/>
  <c r="W18" i="44" s="1"/>
  <c r="W8" i="44"/>
  <c r="V59" i="21"/>
  <c r="R101" i="40"/>
  <c r="U89" i="9"/>
  <c r="U92" i="9"/>
  <c r="U91" i="9"/>
  <c r="U84" i="9"/>
  <c r="U90" i="9" s="1"/>
  <c r="U77" i="9"/>
  <c r="U76" i="9"/>
  <c r="V45" i="44"/>
  <c r="U66" i="9"/>
  <c r="U57" i="9" s="1"/>
  <c r="U56" i="9" s="1"/>
  <c r="U88" i="9" l="1"/>
  <c r="V41" i="49"/>
  <c r="P13" i="44"/>
  <c r="O68" i="21"/>
  <c r="P58" i="44"/>
  <c r="O85" i="21"/>
  <c r="X16" i="44"/>
  <c r="W33" i="21"/>
  <c r="X18" i="44" s="1"/>
  <c r="X8" i="44"/>
  <c r="W59" i="21"/>
  <c r="R106" i="40"/>
  <c r="R92" i="40" s="1"/>
  <c r="R36" i="40"/>
  <c r="V42" i="44"/>
  <c r="V42" i="49"/>
  <c r="U94" i="9"/>
  <c r="V97" i="9"/>
  <c r="V98" i="9" s="1"/>
  <c r="V96" i="9" s="1"/>
  <c r="V41" i="44"/>
  <c r="V68" i="9"/>
  <c r="V69" i="9"/>
  <c r="U93" i="9"/>
  <c r="S58" i="49" l="1"/>
  <c r="O95" i="21"/>
  <c r="P62" i="44" s="1"/>
  <c r="O94" i="21"/>
  <c r="P61" i="44" s="1"/>
  <c r="O86" i="21"/>
  <c r="O93" i="21" s="1"/>
  <c r="P60" i="44" s="1"/>
  <c r="P10" i="44"/>
  <c r="O78" i="21"/>
  <c r="O77" i="21"/>
  <c r="O67" i="21"/>
  <c r="O58" i="21" s="1"/>
  <c r="O57" i="21" s="1"/>
  <c r="R68" i="40"/>
  <c r="S13" i="49"/>
  <c r="R87" i="40"/>
  <c r="R88" i="40" s="1"/>
  <c r="R95" i="40" s="1"/>
  <c r="S60" i="49" s="1"/>
  <c r="V35" i="9"/>
  <c r="W48" i="49" s="1"/>
  <c r="V101" i="9"/>
  <c r="V87" i="9" s="1"/>
  <c r="O92" i="21" l="1"/>
  <c r="P59" i="44" s="1"/>
  <c r="P69" i="21"/>
  <c r="P70" i="21"/>
  <c r="P5" i="44"/>
  <c r="P6" i="44"/>
  <c r="R94" i="40"/>
  <c r="R97" i="40"/>
  <c r="S62" i="49" s="1"/>
  <c r="R96" i="40"/>
  <c r="S61" i="49" s="1"/>
  <c r="S10" i="49"/>
  <c r="R67" i="40"/>
  <c r="R58" i="40" s="1"/>
  <c r="R57" i="40" s="1"/>
  <c r="R78" i="40"/>
  <c r="R77" i="40"/>
  <c r="S6" i="49" s="1"/>
  <c r="V83" i="9"/>
  <c r="V84" i="9" s="1"/>
  <c r="W48" i="44"/>
  <c r="V67" i="9"/>
  <c r="W45" i="49" s="1"/>
  <c r="R93" i="40" l="1"/>
  <c r="S59" i="49"/>
  <c r="O91" i="21"/>
  <c r="O96" i="21" s="1"/>
  <c r="S102" i="40"/>
  <c r="S69" i="40"/>
  <c r="R83" i="40"/>
  <c r="S70" i="40"/>
  <c r="S5" i="49"/>
  <c r="R98" i="40"/>
  <c r="R99" i="40"/>
  <c r="V91" i="9"/>
  <c r="V89" i="9"/>
  <c r="V92" i="9"/>
  <c r="V90" i="9"/>
  <c r="V76" i="9"/>
  <c r="W45" i="44"/>
  <c r="V77" i="9"/>
  <c r="V66" i="9"/>
  <c r="V57" i="9" s="1"/>
  <c r="V56" i="9" s="1"/>
  <c r="P100" i="21" l="1"/>
  <c r="P101" i="21" s="1"/>
  <c r="P99" i="21" s="1"/>
  <c r="O97" i="21"/>
  <c r="W41" i="49"/>
  <c r="S103" i="40"/>
  <c r="S101" i="40" s="1"/>
  <c r="V88" i="9"/>
  <c r="W97" i="9" s="1"/>
  <c r="W98" i="9" s="1"/>
  <c r="W96" i="9" s="1"/>
  <c r="W101" i="9" s="1"/>
  <c r="W87" i="9" s="1"/>
  <c r="W42" i="44"/>
  <c r="W42" i="49"/>
  <c r="W69" i="9"/>
  <c r="W68" i="9"/>
  <c r="W41" i="44"/>
  <c r="P36" i="21" l="1"/>
  <c r="P104" i="21"/>
  <c r="P90" i="21" s="1"/>
  <c r="V94" i="9"/>
  <c r="V93" i="9"/>
  <c r="S36" i="40"/>
  <c r="S106" i="40"/>
  <c r="S92" i="40" s="1"/>
  <c r="W35" i="9"/>
  <c r="X48" i="49" s="1"/>
  <c r="W83" i="9"/>
  <c r="W91" i="9" s="1"/>
  <c r="T58" i="49" l="1"/>
  <c r="P85" i="21"/>
  <c r="Q58" i="44"/>
  <c r="P68" i="21"/>
  <c r="Q13" i="44"/>
  <c r="X48" i="44"/>
  <c r="W67" i="9"/>
  <c r="X45" i="49" s="1"/>
  <c r="S87" i="40"/>
  <c r="S88" i="40" s="1"/>
  <c r="S68" i="40"/>
  <c r="T13" i="49"/>
  <c r="W84" i="9"/>
  <c r="W89" i="9" s="1"/>
  <c r="W92" i="9"/>
  <c r="P78" i="21" l="1"/>
  <c r="P77" i="21"/>
  <c r="P67" i="21"/>
  <c r="P58" i="21" s="1"/>
  <c r="P57" i="21" s="1"/>
  <c r="Q10" i="44"/>
  <c r="P86" i="21"/>
  <c r="P93" i="21" s="1"/>
  <c r="Q60" i="44" s="1"/>
  <c r="P94" i="21"/>
  <c r="Q61" i="44" s="1"/>
  <c r="P95" i="21"/>
  <c r="P92" i="21"/>
  <c r="W90" i="9"/>
  <c r="W88" i="9" s="1"/>
  <c r="W66" i="9"/>
  <c r="W57" i="9" s="1"/>
  <c r="W56" i="9" s="1"/>
  <c r="X41" i="44" s="1"/>
  <c r="X45" i="44"/>
  <c r="W77" i="9"/>
  <c r="W76" i="9"/>
  <c r="X42" i="44" s="1"/>
  <c r="S94" i="40"/>
  <c r="T59" i="49" s="1"/>
  <c r="S78" i="40"/>
  <c r="S67" i="40"/>
  <c r="S58" i="40" s="1"/>
  <c r="S57" i="40" s="1"/>
  <c r="S77" i="40"/>
  <c r="T6" i="49" s="1"/>
  <c r="T10" i="49"/>
  <c r="S97" i="40"/>
  <c r="T62" i="49" s="1"/>
  <c r="S95" i="40"/>
  <c r="T60" i="49" s="1"/>
  <c r="S96" i="40"/>
  <c r="T61" i="49" s="1"/>
  <c r="Q59" i="44" l="1"/>
  <c r="P91" i="21"/>
  <c r="P96" i="21" s="1"/>
  <c r="Q62" i="44"/>
  <c r="Q5" i="44"/>
  <c r="Q70" i="21"/>
  <c r="Q69" i="21"/>
  <c r="Q6" i="44"/>
  <c r="X41" i="49"/>
  <c r="X42" i="49"/>
  <c r="S93" i="40"/>
  <c r="S99" i="40" s="1"/>
  <c r="T69" i="40"/>
  <c r="T5" i="49"/>
  <c r="T70" i="40"/>
  <c r="S83" i="40"/>
  <c r="W94" i="9"/>
  <c r="W93" i="9"/>
  <c r="Q100" i="21" l="1"/>
  <c r="Q101" i="21" s="1"/>
  <c r="Q99" i="21" s="1"/>
  <c r="P97" i="21"/>
  <c r="T102" i="40"/>
  <c r="T103" i="40" s="1"/>
  <c r="S98" i="40"/>
  <c r="Q104" i="21" l="1"/>
  <c r="Q90" i="21" s="1"/>
  <c r="Q36" i="21"/>
  <c r="T101" i="40"/>
  <c r="R13" i="44" l="1"/>
  <c r="Q68" i="21"/>
  <c r="Q85" i="21"/>
  <c r="R58" i="44"/>
  <c r="T106" i="40"/>
  <c r="T92" i="40" s="1"/>
  <c r="T36" i="40"/>
  <c r="U58" i="49" l="1"/>
  <c r="Q94" i="21"/>
  <c r="R61" i="44" s="1"/>
  <c r="Q86" i="21"/>
  <c r="Q92" i="21" s="1"/>
  <c r="R59" i="44" s="1"/>
  <c r="Q95" i="21"/>
  <c r="R62" i="44" s="1"/>
  <c r="Q78" i="21"/>
  <c r="Q77" i="21"/>
  <c r="R10" i="44"/>
  <c r="Q67" i="21"/>
  <c r="Q58" i="21" s="1"/>
  <c r="Q57" i="21" s="1"/>
  <c r="Q93" i="21"/>
  <c r="R60" i="44" s="1"/>
  <c r="T68" i="40"/>
  <c r="U13" i="49"/>
  <c r="T87" i="40"/>
  <c r="R70" i="21" l="1"/>
  <c r="R69" i="21"/>
  <c r="R5" i="44"/>
  <c r="R6" i="44"/>
  <c r="Q91" i="21"/>
  <c r="T88" i="40"/>
  <c r="T95" i="40" s="1"/>
  <c r="U60" i="49" s="1"/>
  <c r="T97" i="40"/>
  <c r="U62" i="49" s="1"/>
  <c r="T96" i="40"/>
  <c r="U61" i="49" s="1"/>
  <c r="U10" i="49"/>
  <c r="T67" i="40"/>
  <c r="T58" i="40" s="1"/>
  <c r="T57" i="40" s="1"/>
  <c r="T77" i="40"/>
  <c r="T78" i="40"/>
  <c r="Q96" i="21" l="1"/>
  <c r="R100" i="21"/>
  <c r="R101" i="21" s="1"/>
  <c r="R99" i="21" s="1"/>
  <c r="Q97" i="21"/>
  <c r="T94" i="40"/>
  <c r="H13" i="35"/>
  <c r="U6" i="49"/>
  <c r="I13" i="35"/>
  <c r="U70" i="40"/>
  <c r="U69" i="40"/>
  <c r="U5" i="49"/>
  <c r="T83" i="40"/>
  <c r="T93" i="40" l="1"/>
  <c r="U102" i="40" s="1"/>
  <c r="U59" i="49"/>
  <c r="R36" i="21"/>
  <c r="R104" i="21"/>
  <c r="R90" i="21" s="1"/>
  <c r="T98" i="40"/>
  <c r="T99" i="40"/>
  <c r="K13" i="35"/>
  <c r="U103" i="40"/>
  <c r="R85" i="21" l="1"/>
  <c r="R86" i="21" s="1"/>
  <c r="R92" i="21" s="1"/>
  <c r="S59" i="44" s="1"/>
  <c r="S58" i="44"/>
  <c r="R95" i="21"/>
  <c r="S62" i="44" s="1"/>
  <c r="R94" i="21"/>
  <c r="S61" i="44" s="1"/>
  <c r="R93" i="21"/>
  <c r="S60" i="44" s="1"/>
  <c r="R68" i="21"/>
  <c r="S13" i="44"/>
  <c r="U101" i="40"/>
  <c r="R91" i="21" l="1"/>
  <c r="R96" i="21" s="1"/>
  <c r="R67" i="21"/>
  <c r="R58" i="21" s="1"/>
  <c r="R57" i="21" s="1"/>
  <c r="R78" i="21"/>
  <c r="S10" i="44"/>
  <c r="R77" i="21"/>
  <c r="U106" i="40"/>
  <c r="U92" i="40" s="1"/>
  <c r="V58" i="49" s="1"/>
  <c r="U36" i="40"/>
  <c r="S70" i="21" l="1"/>
  <c r="S5" i="44"/>
  <c r="S69" i="21"/>
  <c r="S6" i="44"/>
  <c r="R97" i="21"/>
  <c r="S100" i="21"/>
  <c r="S101" i="21" s="1"/>
  <c r="S99" i="21" s="1"/>
  <c r="U68" i="40"/>
  <c r="V13" i="49"/>
  <c r="U87" i="40"/>
  <c r="U97" i="40" s="1"/>
  <c r="V62" i="49" s="1"/>
  <c r="S104" i="21" l="1"/>
  <c r="S90" i="21" s="1"/>
  <c r="S36" i="21"/>
  <c r="U88" i="40"/>
  <c r="U94" i="40" s="1"/>
  <c r="V59" i="49" s="1"/>
  <c r="U96" i="40"/>
  <c r="V61" i="49" s="1"/>
  <c r="V10" i="49"/>
  <c r="U77" i="40"/>
  <c r="V6" i="49" s="1"/>
  <c r="U67" i="40"/>
  <c r="U58" i="40" s="1"/>
  <c r="U57" i="40" s="1"/>
  <c r="U78" i="40"/>
  <c r="T13" i="44" l="1"/>
  <c r="S68" i="21"/>
  <c r="T58" i="44"/>
  <c r="S85" i="21"/>
  <c r="S86" i="21" s="1"/>
  <c r="S93" i="21" s="1"/>
  <c r="U95" i="40"/>
  <c r="U83" i="40"/>
  <c r="V69" i="40"/>
  <c r="V70" i="40"/>
  <c r="V5" i="49"/>
  <c r="U93" i="40" l="1"/>
  <c r="V102" i="40" s="1"/>
  <c r="V60" i="49"/>
  <c r="T60" i="44"/>
  <c r="S77" i="21"/>
  <c r="T10" i="44"/>
  <c r="S78" i="21"/>
  <c r="S67" i="21"/>
  <c r="S58" i="21" s="1"/>
  <c r="S57" i="21" s="1"/>
  <c r="S92" i="21"/>
  <c r="T59" i="44" s="1"/>
  <c r="S95" i="21"/>
  <c r="T62" i="44" s="1"/>
  <c r="S94" i="21"/>
  <c r="T61" i="44" s="1"/>
  <c r="U99" i="40"/>
  <c r="U98" i="40"/>
  <c r="V103" i="40"/>
  <c r="S91" i="21" l="1"/>
  <c r="S97" i="21" s="1"/>
  <c r="T69" i="21"/>
  <c r="T70" i="21"/>
  <c r="T5" i="44"/>
  <c r="T6" i="44"/>
  <c r="S96" i="21"/>
  <c r="V101" i="40"/>
  <c r="T100" i="21" l="1"/>
  <c r="T101" i="21" s="1"/>
  <c r="V106" i="40"/>
  <c r="V92" i="40" s="1"/>
  <c r="W58" i="49" s="1"/>
  <c r="V36" i="40"/>
  <c r="T99" i="21" l="1"/>
  <c r="T36" i="21" s="1"/>
  <c r="W13" i="49"/>
  <c r="V68" i="40"/>
  <c r="V87" i="40"/>
  <c r="T104" i="21" l="1"/>
  <c r="T90" i="21" s="1"/>
  <c r="U13" i="44"/>
  <c r="T68" i="21"/>
  <c r="T77" i="21" s="1"/>
  <c r="U10" i="44"/>
  <c r="T67" i="21"/>
  <c r="T58" i="21" s="1"/>
  <c r="T57" i="21" s="1"/>
  <c r="V96" i="40"/>
  <c r="W61" i="49" s="1"/>
  <c r="V88" i="40"/>
  <c r="V94" i="40" s="1"/>
  <c r="W59" i="49" s="1"/>
  <c r="V97" i="40"/>
  <c r="W62" i="49" s="1"/>
  <c r="V67" i="40"/>
  <c r="V58" i="40" s="1"/>
  <c r="V57" i="40" s="1"/>
  <c r="W10" i="49"/>
  <c r="V77" i="40"/>
  <c r="V78" i="40"/>
  <c r="T85" i="21" l="1"/>
  <c r="U58" i="44"/>
  <c r="T78" i="21"/>
  <c r="T92" i="21"/>
  <c r="U59" i="44" s="1"/>
  <c r="I12" i="35"/>
  <c r="U70" i="21"/>
  <c r="U5" i="44"/>
  <c r="U69" i="21"/>
  <c r="U6" i="44"/>
  <c r="H12" i="35"/>
  <c r="V95" i="40"/>
  <c r="W6" i="49"/>
  <c r="W70" i="40"/>
  <c r="V83" i="40"/>
  <c r="W69" i="40"/>
  <c r="W5" i="49"/>
  <c r="T95" i="21" l="1"/>
  <c r="U62" i="44" s="1"/>
  <c r="T94" i="21"/>
  <c r="U61" i="44" s="1"/>
  <c r="T86" i="21"/>
  <c r="T93" i="21" s="1"/>
  <c r="V93" i="40"/>
  <c r="W60" i="49"/>
  <c r="K12" i="35"/>
  <c r="V99" i="40"/>
  <c r="W102" i="40"/>
  <c r="W103" i="40" s="1"/>
  <c r="V98" i="40"/>
  <c r="U60" i="44" l="1"/>
  <c r="T91" i="21"/>
  <c r="W101" i="40"/>
  <c r="T96" i="21" l="1"/>
  <c r="U100" i="21"/>
  <c r="U101" i="21" s="1"/>
  <c r="U99" i="21" s="1"/>
  <c r="T97" i="21"/>
  <c r="W36" i="40"/>
  <c r="W106" i="40"/>
  <c r="W92" i="40" s="1"/>
  <c r="X58" i="49" s="1"/>
  <c r="U104" i="21" l="1"/>
  <c r="U90" i="21" s="1"/>
  <c r="U36" i="21"/>
  <c r="W87" i="40"/>
  <c r="W88" i="40" s="1"/>
  <c r="W95" i="40" s="1"/>
  <c r="X60" i="49" s="1"/>
  <c r="X13" i="49"/>
  <c r="W68" i="40"/>
  <c r="V13" i="44" l="1"/>
  <c r="U68" i="21"/>
  <c r="V58" i="44"/>
  <c r="U85" i="21"/>
  <c r="W78" i="40"/>
  <c r="X10" i="49"/>
  <c r="W77" i="40"/>
  <c r="W67" i="40"/>
  <c r="W58" i="40" s="1"/>
  <c r="W57" i="40" s="1"/>
  <c r="W96" i="40"/>
  <c r="X61" i="49" s="1"/>
  <c r="W97" i="40"/>
  <c r="X62" i="49" s="1"/>
  <c r="W94" i="40"/>
  <c r="U95" i="21" l="1"/>
  <c r="V62" i="44" s="1"/>
  <c r="U92" i="21"/>
  <c r="U86" i="21"/>
  <c r="U93" i="21" s="1"/>
  <c r="V60" i="44" s="1"/>
  <c r="U78" i="21"/>
  <c r="U77" i="21"/>
  <c r="V6" i="44" s="1"/>
  <c r="U67" i="21"/>
  <c r="U58" i="21" s="1"/>
  <c r="U57" i="21" s="1"/>
  <c r="V10" i="44"/>
  <c r="U94" i="21"/>
  <c r="V61" i="44" s="1"/>
  <c r="W93" i="40"/>
  <c r="X59" i="49"/>
  <c r="X6" i="49"/>
  <c r="W98" i="40"/>
  <c r="W99" i="40"/>
  <c r="X5" i="49"/>
  <c r="W83" i="40"/>
  <c r="V69" i="21" l="1"/>
  <c r="V5" i="44"/>
  <c r="V70" i="21"/>
  <c r="V59" i="44"/>
  <c r="U91" i="21"/>
  <c r="U96" i="21" l="1"/>
  <c r="V100" i="21"/>
  <c r="V101" i="21" s="1"/>
  <c r="V99" i="21" s="1"/>
  <c r="U97" i="21"/>
  <c r="V104" i="21" l="1"/>
  <c r="V90" i="21" s="1"/>
  <c r="V36" i="21"/>
  <c r="V68" i="21" l="1"/>
  <c r="W13" i="44"/>
  <c r="V85" i="21"/>
  <c r="W58" i="44"/>
  <c r="V86" i="21" l="1"/>
  <c r="V93" i="21" s="1"/>
  <c r="W60" i="44" s="1"/>
  <c r="V95" i="21"/>
  <c r="W62" i="44" s="1"/>
  <c r="V94" i="21"/>
  <c r="W61" i="44" s="1"/>
  <c r="V92" i="21"/>
  <c r="W10" i="44"/>
  <c r="V78" i="21"/>
  <c r="V77" i="21"/>
  <c r="W6" i="44" s="1"/>
  <c r="V67" i="21"/>
  <c r="V58" i="21" s="1"/>
  <c r="V57" i="21" s="1"/>
  <c r="V91" i="21" l="1"/>
  <c r="W59" i="44"/>
  <c r="W5" i="44"/>
  <c r="W69" i="21"/>
  <c r="W70" i="21"/>
  <c r="W100" i="21" l="1"/>
  <c r="W101" i="21" s="1"/>
  <c r="W99" i="21" s="1"/>
  <c r="V96" i="21"/>
  <c r="V97" i="21"/>
  <c r="W36" i="21" l="1"/>
  <c r="W104" i="21"/>
  <c r="W90" i="21" s="1"/>
  <c r="X58" i="44" l="1"/>
  <c r="W85" i="21"/>
  <c r="W86" i="21" s="1"/>
  <c r="W93" i="21" s="1"/>
  <c r="X60" i="44" s="1"/>
  <c r="W95" i="21"/>
  <c r="X62" i="44" s="1"/>
  <c r="W92" i="21"/>
  <c r="X59" i="44" s="1"/>
  <c r="X13" i="44"/>
  <c r="W68" i="21"/>
  <c r="W91" i="21"/>
  <c r="W67" i="21" l="1"/>
  <c r="W58" i="21" s="1"/>
  <c r="W57" i="21" s="1"/>
  <c r="X5" i="44" s="1"/>
  <c r="X10" i="44"/>
  <c r="W77" i="21"/>
  <c r="X6" i="44" s="1"/>
  <c r="W78" i="21"/>
  <c r="W94" i="21"/>
  <c r="X61" i="44" s="1"/>
  <c r="W97" i="21"/>
  <c r="W96" i="21" l="1"/>
</calcChain>
</file>

<file path=xl/sharedStrings.xml><?xml version="1.0" encoding="utf-8"?>
<sst xmlns="http://schemas.openxmlformats.org/spreadsheetml/2006/main" count="587" uniqueCount="218">
  <si>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</si>
  <si>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</si>
  <si>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</si>
  <si>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</si>
  <si>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</si>
  <si>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</si>
  <si>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</si>
  <si>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</si>
  <si>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</si>
  <si>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</si>
  <si>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</si>
  <si>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</si>
  <si>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</si>
  <si>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</si>
  <si>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</si>
  <si>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</si>
  <si>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</si>
  <si>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</si>
  <si>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</si>
  <si>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</si>
  <si>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</si>
  <si>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</si>
  <si>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</si>
  <si>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</si>
  <si>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</si>
  <si>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</si>
  <si>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</si>
  <si>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</si>
  <si>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</si>
  <si>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</si>
  <si>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</si>
  <si>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</si>
  <si>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</si>
  <si>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</si>
  <si>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</si>
  <si>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</si>
  <si>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</si>
  <si>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</si>
  <si>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</si>
  <si>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</si>
  <si>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</si>
  <si>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</si>
  <si>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</si>
  <si>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</si>
  <si>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</si>
  <si>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</si>
  <si>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</si>
  <si>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</si>
  <si>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</si>
  <si>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</si>
  <si>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</si>
  <si>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</si>
  <si>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</si>
  <si>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</si>
  <si>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</si>
  <si>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Derived from the model and made consistent with the short-term forecast.</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</si>
  <si>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</si>
  <si>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</si>
  <si>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</si>
  <si>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</si>
  <si>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</si>
  <si>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</si>
  <si>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</si>
  <si>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</si>
  <si>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</si>
  <si>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</si>
  <si>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</si>
  <si>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</si>
  <si>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</si>
  <si>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</si>
  <si>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</si>
  <si>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</si>
  <si>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</si>
  <si>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</si>
  <si>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</si>
  <si>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</si>
  <si>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</si>
  <si>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</si>
  <si>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</si>
  <si>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</si>
  <si>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</si>
  <si>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</si>
  <si>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</si>
  <si>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</si>
  <si>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</si>
  <si>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</si>
  <si>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</si>
  <si>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</si>
  <si>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</si>
  <si>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</si>
  <si>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</si>
  <si>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</si>
  <si>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</si>
  <si>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</si>
  <si>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</si>
  <si>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</si>
  <si>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</si>
  <si>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</si>
  <si>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</si>
  <si>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</si>
  <si>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</si>
  <si>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</si>
  <si>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</si>
  <si>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</si>
  <si>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</si>
  <si>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</si>
  <si>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</si>
  <si>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</si>
  <si>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</si>
  <si>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</si>
  <si>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</si>
  <si>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</si>
  <si>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</si>
  <si>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LT</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</si>
  <si>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</si>
  <si>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</si>
  <si>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</si>
  <si>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</si>
  <si>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</si>
  <si>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</si>
  <si>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</si>
  <si>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</si>
  <si>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</si>
  <si>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Without extension</t>
  </si>
  <si>
    <t>With extension</t>
  </si>
  <si>
    <t>Annual adjustment (with safeguard)</t>
  </si>
  <si>
    <t>Annual adjustment (without safeguard)</t>
  </si>
  <si>
    <t>Table 5 - Technical information*</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</si>
  <si>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</si>
  <si>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</si>
  <si>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</si>
  <si>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</si>
  <si>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</si>
  <si>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</si>
  <si>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</si>
  <si>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</si>
  <si>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</si>
  <si>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</si>
  <si>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</si>
  <si>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</si>
  <si>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</si>
  <si>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</si>
  <si>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</si>
  <si>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</si>
  <si>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Level (billions, national currency)</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</si>
  <si>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</si>
  <si>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</si>
  <si>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</si>
  <si>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</si>
  <si>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</si>
  <si>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</si>
  <si>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</si>
  <si>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</si>
  <si>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</si>
  <si>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</si>
  <si>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</si>
  <si>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</si>
  <si>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</si>
  <si>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</si>
  <si>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</si>
  <si>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</si>
  <si>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</si>
  <si>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</si>
  <si>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</si>
  <si>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</si>
  <si>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</si>
  <si>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</si>
  <si>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</si>
  <si>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</si>
  <si>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</si>
  <si>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</si>
  <si>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</si>
  <si>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</si>
  <si>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</si>
  <si>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</si>
  <si>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</si>
  <si>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</si>
  <si>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</si>
  <si>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</si>
  <si>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</si>
  <si>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t>1.</t>
  </si>
  <si>
    <t>2.</t>
  </si>
  <si>
    <t>Budget balance semi-elasticity</t>
  </si>
  <si>
    <r>
      <t>The grey sheet "</t>
    </r>
    <r>
      <rPr>
        <b/>
        <sz val="11"/>
        <color rgb="FF0070C0"/>
        <rFont val="Calibri"/>
        <family val="2"/>
        <scheme val="minor"/>
      </rPr>
      <t>Criteria results</t>
    </r>
    <r>
      <rPr>
        <sz val="11"/>
        <color rgb="FF0070C0"/>
        <rFont val="Calibri"/>
        <family val="2"/>
        <scheme val="minor"/>
      </rPr>
      <t>" contains three types of cells identified by different colours:</t>
    </r>
  </si>
  <si>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</si>
  <si>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</si>
  <si>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</si>
  <si>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r>
      <t xml:space="preserve">Cells with a </t>
    </r>
    <r>
      <rPr>
        <i/>
        <sz val="11"/>
        <color rgb="FF0070C0"/>
        <rFont val="Calibri"/>
        <family val="2"/>
        <scheme val="minor"/>
      </rPr>
      <t>pale blue background</t>
    </r>
    <r>
      <rPr>
        <sz val="11"/>
        <color rgb="FF0070C0"/>
        <rFont val="Calibri"/>
        <family val="2"/>
        <scheme val="minor"/>
      </rPr>
      <t xml:space="preserve"> correspond to the Commission's prior guidance provided to the Member State. Those are hard numbers that do not depend on the adjustment chosen in the file.</t>
    </r>
  </si>
  <si>
    <t>Subject to an excessive deficit procedure (EDP) (0-no/1-yes)</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</si>
  <si>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</si>
  <si>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</si>
  <si>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</si>
  <si>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</si>
  <si>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</si>
  <si>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 The technical information provides the structural primary balance necessary to ensure that the deficit remains below 3% of GDP and debt remains below 60% of GDP over the medium term in the absence of additional fiscal measures beyond the adjustment period.  In line with the deficit resilience safeguard, and when necessary, an adjustment of 0.4 pp of GDP (0.25 pp. in case of extension) in structural primary terms is applied until the structural balance is at least equal to -1.5% of GDP. Note that the SPB at the end of the adjustment period may be lower than the SPB at the beginning of the plan, indicating that the Member State does not need to adjust.</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</si>
  <si>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</si>
  <si>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</si>
  <si>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</si>
  <si>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t>Table 5 "Technical information" reports the SPB level at the end of the adjustment period that fulfils the DSA-based criteria and takes into account the deficit resilience safeguard, both without and with extension.</t>
  </si>
  <si>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</si>
  <si>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</si>
  <si>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</si>
  <si>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</si>
  <si>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AF24</t>
  </si>
  <si>
    <t>Share of outstanding debt in total debt in 2023</t>
  </si>
  <si>
    <t>Share of rolled-over long-term debt in 2023</t>
  </si>
  <si>
    <t>Share of rolled-over short-term debt in 2023</t>
  </si>
  <si>
    <t>Share of new long-term debt in 2023</t>
  </si>
  <si>
    <t>Share of new short-term debt in 2023</t>
  </si>
  <si>
    <r>
      <t xml:space="preserve">Data reported in this file are based on the </t>
    </r>
    <r>
      <rPr>
        <i/>
        <sz val="11"/>
        <color rgb="FF0070C0"/>
        <rFont val="Calibri"/>
        <family val="2"/>
        <scheme val="minor"/>
      </rPr>
      <t>European Commission (EC) 2024 autumn forecast</t>
    </r>
    <r>
      <rPr>
        <sz val="11"/>
        <color rgb="FF0070C0"/>
        <rFont val="Calibri"/>
        <family val="2"/>
        <scheme val="minor"/>
      </rPr>
      <t xml:space="preserve"> </t>
    </r>
    <r>
      <rPr>
        <i/>
        <sz val="11"/>
        <color rgb="FF0070C0"/>
        <rFont val="Calibri"/>
        <family val="2"/>
        <scheme val="minor"/>
      </rPr>
      <t>(AF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</si>
  <si>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The sheet in blue provides, as a reference, the baseline no-fiscal-policy-change scenario. The background colour coding is the same as in the sheet "Input data".</t>
  </si>
  <si>
    <t>Key fiscal variables (based on the Commission 2024 autumn forecast ("AF 2024") T+2 forecast</t>
  </si>
  <si>
    <t>Real GDP growth assumptions (based on AF 2024 T+10 projections and AR 2024 projections)</t>
  </si>
  <si>
    <t>Interest rates (AF 2024, %)</t>
  </si>
  <si>
    <t>Inflation (AF 2024, %)</t>
  </si>
  <si>
    <t>Net primary expenditure growth (AF 2024, %)</t>
  </si>
  <si>
    <t>No extension (annual adjustment of 0.16)</t>
  </si>
  <si>
    <t>Extension (annual adjustment of 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</si>
</sst>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85">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0" fontId="0" fillId="5" borderId="10" xfId="0" applyFill="1" applyBorder="1" applyAlignment="1">
      <alignment horizontal="center"/>
    </xf>
    <xf numFmtId="0" fontId="0" fillId="5" borderId="1" xfId="0" applyFill="1" applyBorder="1" applyAlignment="1">
      <alignment horizontal="center"/>
    </xf>
    <xf numFmtId="165" fontId="0" fillId="5" borderId="13" xfId="0" applyNumberFormat="1" applyFill="1" applyBorder="1" applyAlignment="1">
      <alignment horizontal="center" vertical="center"/>
    </xf>
    <xf numFmtId="0" fontId="0" fillId="5" borderId="3" xfId="0" applyFill="1" applyBorder="1"/>
    <xf numFmtId="0" fontId="0" fillId="5" borderId="4" xfId="0" applyFill="1" applyBorder="1"/>
    <xf numFmtId="0" fontId="0" fillId="5" borderId="0" xfId="0" applyFill="1"/>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0" fontId="22" fillId="5" borderId="2" xfId="0" applyFont="1"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5" borderId="14" xfId="0" quotePrefix="1" applyFill="1" applyBorder="1" applyAlignment="1">
      <alignment horizontal="center" vertical="center"/>
    </xf>
    <xf numFmtId="0" fontId="22" fillId="5" borderId="9" xfId="0" applyFont="1" applyFill="1" applyBorder="1"/>
    <xf numFmtId="165" fontId="0" fillId="5" borderId="9" xfId="0" applyNumberFormat="1" applyFill="1" applyBorder="1" applyAlignment="1">
      <alignment horizontal="center" vertical="center"/>
    </xf>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165" fontId="0" fillId="5" borderId="11" xfId="0" applyNumberFormat="1" applyFill="1" applyBorder="1" applyAlignment="1">
      <alignment horizontal="center" vertical="top" wrapText="1"/>
    </xf>
    <xf numFmtId="165" fontId="0" fillId="5" borderId="12" xfId="0" applyNumberFormat="1" applyFill="1" applyBorder="1" applyAlignment="1">
      <alignment horizontal="center" vertical="top" wrapText="1"/>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5" borderId="0"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14" fillId="11" borderId="0" xfId="0" applyNumberFormat="1" applyFont="1" applyFill="1" applyAlignment="1">
      <alignment horizontal="center"/>
    </xf>
    <xf numFmtId="165" fontId="14" fillId="11" borderId="3" xfId="0" applyNumberFormat="1" applyFont="1" applyFill="1" applyBorder="1" applyAlignment="1" applyProtection="1">
      <alignment horizontal="center"/>
      <protection locked="0"/>
    </xf>
    <xf numFmtId="165" fontId="14" fillId="11" borderId="6" xfId="0" applyNumberFormat="1" applyFont="1" applyFill="1" applyBorder="1" applyAlignment="1" applyProtection="1">
      <alignment horizontal="center"/>
      <protection locked="0"/>
    </xf>
    <xf numFmtId="2" fontId="21" fillId="10" borderId="0" xfId="0" applyNumberFormat="1" applyFont="1" applyFill="1" applyAlignment="1">
      <alignment horizontal="center" vertical="center"/>
    </xf>
    <xf numFmtId="165" fontId="8" fillId="2" borderId="0" xfId="0" applyNumberFormat="1" applyFont="1" applyFill="1" applyBorder="1" applyAlignment="1">
      <alignment horizontal="center"/>
    </xf>
    <xf numFmtId="165" fontId="14" fillId="22" borderId="0" xfId="0" applyNumberFormat="1" applyFont="1" applyFill="1" applyAlignment="1" applyProtection="1">
      <alignment horizontal="center"/>
      <protection locked="0"/>
    </xf>
    <xf numFmtId="165" fontId="8" fillId="22" borderId="0" xfId="0" applyNumberFormat="1" applyFont="1" applyFill="1" applyAlignment="1" applyProtection="1">
      <alignment horizontal="center"/>
      <protection locked="0"/>
    </xf>
    <xf numFmtId="0" fontId="8" fillId="22" borderId="0" xfId="0" applyFont="1" applyFill="1"/>
    <xf numFmtId="167" fontId="8" fillId="22" borderId="0" xfId="0" applyNumberFormat="1" applyFont="1" applyFill="1" applyAlignment="1">
      <alignment horizontal="center"/>
    </xf>
    <xf numFmtId="2" fontId="8" fillId="22" borderId="0" xfId="0" applyNumberFormat="1" applyFont="1" applyFill="1" applyAlignment="1">
      <alignment horizontal="center"/>
    </xf>
    <xf numFmtId="165" fontId="8" fillId="22" borderId="0" xfId="0" applyNumberFormat="1" applyFont="1" applyFill="1" applyAlignment="1">
      <alignment horizontal="center"/>
    </xf>
    <xf numFmtId="2" fontId="37" fillId="22" borderId="0" xfId="0" applyNumberFormat="1" applyFont="1" applyFill="1" applyAlignment="1">
      <alignment horizontal="center"/>
    </xf>
    <xf numFmtId="2" fontId="14" fillId="22" borderId="0" xfId="0" applyNumberFormat="1" applyFont="1" applyFill="1" applyAlignment="1">
      <alignment horizontal="center"/>
    </xf>
    <xf numFmtId="2" fontId="21" fillId="2" borderId="0" xfId="0" applyNumberFormat="1" applyFont="1" applyFill="1"/>
    <xf numFmtId="0" fontId="26" fillId="2" borderId="0" xfId="12"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justify" wrapText="1"/>
    </xf>
    <xf numFmtId="0" fontId="26" fillId="2" borderId="0" xfId="6" applyFont="1" applyFill="1" applyAlignment="1">
      <alignment horizontal="justify" vertical="top"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center" wrapText="1"/>
    </xf>
    <xf numFmtId="0" fontId="26" fillId="2" borderId="6" xfId="12" applyFont="1" applyFill="1" applyBorder="1" applyAlignment="1">
      <alignment horizontal="justify" vertical="top" wrapText="1"/>
    </xf>
    <xf numFmtId="0" fontId="26" fillId="2" borderId="0" xfId="12" applyFont="1" applyFill="1" applyAlignment="1">
      <alignment horizontal="left"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2" borderId="3" xfId="0" applyFill="1" applyBorder="1" applyAlignment="1">
      <alignment horizontal="justify" vertical="top"/>
    </xf>
    <xf numFmtId="0" fontId="16" fillId="2" borderId="10" xfId="0" applyFont="1" applyFill="1" applyBorder="1" applyAlignment="1">
      <alignment horizontal="center" vertical="center"/>
    </xf>
    <xf numFmtId="0" fontId="36" fillId="2" borderId="0" xfId="0" applyFont="1" applyFill="1" applyAlignment="1">
      <alignment horizontal="center" vertical="center" wrapText="1"/>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2"/>
  <sheetViews>
    <sheetView zoomScaleNormal="100" workbookViewId="0"/>
  </sheetViews>
  <sheetFormatPr defaultColWidth="9.28515625" defaultRowHeight="15" x14ac:dyDescent="0.25"/>
  <cols>
    <col min="1" max="3" width="9.28515625" style="205"/>
    <col min="4" max="4" width="7.28515625" style="205" customWidth="1"/>
    <col min="5" max="5" width="6.140625" style="205" customWidth="1"/>
    <col min="6" max="6" width="3.140625" style="205" customWidth="1"/>
    <col min="7" max="13" width="9.28515625" style="205"/>
    <col min="14" max="14" width="18.140625" style="205" customWidth="1"/>
    <col min="15" max="16384" width="9.28515625" style="205"/>
  </cols>
  <sheetData>
    <row r="2" spans="2:12" x14ac:dyDescent="0.25">
      <c r="B2" s="233"/>
      <c r="C2" s="232"/>
      <c r="D2" s="232"/>
      <c r="E2" s="232"/>
      <c r="F2" s="232"/>
      <c r="G2" s="236"/>
      <c r="H2" s="232"/>
      <c r="I2" s="232"/>
      <c r="J2" s="232"/>
      <c r="K2" s="232"/>
      <c r="L2" s="231"/>
    </row>
    <row r="3" spans="2:12" x14ac:dyDescent="0.25">
      <c r="B3" s="210"/>
      <c r="C3" s="235"/>
      <c r="D3" s="235"/>
      <c r="E3" s="235"/>
      <c r="F3" s="235"/>
      <c r="G3" s="229"/>
      <c r="H3" s="235"/>
      <c r="I3" s="235"/>
      <c r="J3" s="235"/>
      <c r="K3" s="235"/>
      <c r="L3" s="209"/>
    </row>
    <row r="4" spans="2:12" x14ac:dyDescent="0.25">
      <c r="B4" s="210"/>
      <c r="C4" s="235"/>
      <c r="D4" s="235"/>
      <c r="E4" s="235"/>
      <c r="F4" s="235"/>
      <c r="G4" s="230" t="s">
        <v>0</v>
      </c>
      <c r="H4" s="235"/>
      <c r="I4" s="235"/>
      <c r="J4" s="235"/>
      <c r="K4" s="235"/>
      <c r="L4" s="209"/>
    </row>
    <row r="5" spans="2:12" x14ac:dyDescent="0.25">
      <c r="B5" s="210"/>
      <c r="C5" s="235"/>
      <c r="D5" s="235"/>
      <c r="E5" s="235"/>
      <c r="F5" s="235"/>
      <c r="G5" s="229"/>
      <c r="H5" s="235"/>
      <c r="I5" s="235"/>
      <c r="J5" s="235"/>
      <c r="K5" s="235"/>
      <c r="L5" s="209"/>
    </row>
    <row r="6" spans="2:12" x14ac:dyDescent="0.25">
      <c r="B6" s="210"/>
      <c r="C6" s="235"/>
      <c r="D6" s="235"/>
      <c r="E6" s="235"/>
      <c r="F6" s="235"/>
      <c r="G6" s="229" t="s">
        <v>1</v>
      </c>
      <c r="H6" s="235"/>
      <c r="I6" s="235"/>
      <c r="J6" s="235"/>
      <c r="K6" s="235"/>
      <c r="L6" s="209"/>
    </row>
    <row r="7" spans="2:12" x14ac:dyDescent="0.25">
      <c r="B7" s="210"/>
      <c r="C7" s="235"/>
      <c r="D7" s="235"/>
      <c r="E7" s="235"/>
      <c r="F7" s="235"/>
      <c r="G7" s="229" t="s">
        <v>2</v>
      </c>
      <c r="H7" s="235"/>
      <c r="I7" s="235"/>
      <c r="J7" s="235"/>
      <c r="K7" s="235"/>
      <c r="L7" s="209"/>
    </row>
    <row r="8" spans="2:12" x14ac:dyDescent="0.25">
      <c r="B8" s="210"/>
      <c r="C8" s="235"/>
      <c r="D8" s="235"/>
      <c r="E8" s="235"/>
      <c r="F8" s="235"/>
      <c r="G8" s="143" t="s">
        <v>3</v>
      </c>
      <c r="H8" s="235"/>
      <c r="I8" s="235"/>
      <c r="J8" s="235"/>
      <c r="K8" s="235"/>
      <c r="L8" s="209"/>
    </row>
    <row r="9" spans="2:12" x14ac:dyDescent="0.25">
      <c r="B9" s="210"/>
      <c r="C9" s="235"/>
      <c r="D9" s="235"/>
      <c r="E9" s="235"/>
      <c r="F9" s="235"/>
      <c r="G9" s="229"/>
      <c r="H9" s="235"/>
      <c r="I9" s="235"/>
      <c r="J9" s="235"/>
      <c r="K9" s="235"/>
      <c r="L9" s="209"/>
    </row>
    <row r="10" spans="2:12" x14ac:dyDescent="0.25">
      <c r="B10" s="210"/>
      <c r="C10" s="235"/>
      <c r="D10" s="235"/>
      <c r="E10" s="235"/>
      <c r="F10" s="235"/>
      <c r="G10" s="229"/>
      <c r="H10" s="235"/>
      <c r="I10" s="235"/>
      <c r="J10" s="235"/>
      <c r="K10" s="235"/>
      <c r="L10" s="209"/>
    </row>
    <row r="11" spans="2:12" x14ac:dyDescent="0.25">
      <c r="B11" s="207"/>
      <c r="C11" s="234"/>
      <c r="D11" s="234"/>
      <c r="E11" s="234"/>
      <c r="F11" s="234"/>
      <c r="G11" s="234"/>
      <c r="H11" s="234"/>
      <c r="I11" s="234"/>
      <c r="J11" s="234"/>
      <c r="K11" s="234"/>
      <c r="L11" s="206"/>
    </row>
    <row r="15" spans="2:12" x14ac:dyDescent="0.25">
      <c r="B15" s="233"/>
      <c r="C15" s="232"/>
      <c r="D15" s="232"/>
      <c r="E15" s="232"/>
      <c r="F15" s="232"/>
      <c r="G15" s="232"/>
      <c r="H15" s="232"/>
      <c r="I15" s="232"/>
      <c r="J15" s="232"/>
      <c r="K15" s="232"/>
      <c r="L15" s="231"/>
    </row>
    <row r="16" spans="2:12" x14ac:dyDescent="0.25">
      <c r="B16" s="210"/>
      <c r="C16" s="230" t="s">
        <v>4</v>
      </c>
      <c r="D16" s="229"/>
      <c r="E16" s="229"/>
      <c r="F16" s="229"/>
      <c r="G16" s="229"/>
      <c r="H16" s="229"/>
      <c r="I16" s="229"/>
      <c r="J16" s="229"/>
      <c r="K16" s="229"/>
      <c r="L16" s="209"/>
    </row>
    <row r="17" spans="2:14" x14ac:dyDescent="0.25">
      <c r="B17" s="210"/>
      <c r="C17" s="229"/>
      <c r="D17" s="229"/>
      <c r="E17" s="229"/>
      <c r="F17" s="229"/>
      <c r="G17" s="230"/>
      <c r="H17" s="229"/>
      <c r="I17" s="229"/>
      <c r="J17" s="229"/>
      <c r="K17" s="229"/>
      <c r="L17" s="209"/>
    </row>
    <row r="18" spans="2:14" ht="15" customHeight="1" x14ac:dyDescent="0.25">
      <c r="B18" s="210"/>
      <c r="C18" s="341" t="s">
        <v>209</v>
      </c>
      <c r="D18" s="341"/>
      <c r="E18" s="341"/>
      <c r="F18" s="341"/>
      <c r="G18" s="341"/>
      <c r="H18" s="341"/>
      <c r="I18" s="341"/>
      <c r="J18" s="341"/>
      <c r="K18" s="341"/>
      <c r="L18" s="209"/>
    </row>
    <row r="19" spans="2:14" x14ac:dyDescent="0.25">
      <c r="B19" s="210"/>
      <c r="C19" s="341"/>
      <c r="D19" s="341"/>
      <c r="E19" s="341"/>
      <c r="F19" s="341"/>
      <c r="G19" s="341"/>
      <c r="H19" s="341"/>
      <c r="I19" s="341"/>
      <c r="J19" s="341"/>
      <c r="K19" s="341"/>
      <c r="L19" s="209"/>
    </row>
    <row r="20" spans="2:14" x14ac:dyDescent="0.25">
      <c r="B20" s="210"/>
      <c r="C20" s="341"/>
      <c r="D20" s="341"/>
      <c r="E20" s="341"/>
      <c r="F20" s="341"/>
      <c r="G20" s="341"/>
      <c r="H20" s="341"/>
      <c r="I20" s="341"/>
      <c r="J20" s="341"/>
      <c r="K20" s="341"/>
      <c r="L20" s="209"/>
    </row>
    <row r="21" spans="2:14" ht="9" customHeight="1" x14ac:dyDescent="0.25">
      <c r="B21" s="210"/>
      <c r="C21" s="229"/>
      <c r="D21" s="229"/>
      <c r="E21" s="229"/>
      <c r="F21" s="229"/>
      <c r="G21" s="229"/>
      <c r="H21" s="229"/>
      <c r="I21" s="229"/>
      <c r="J21" s="229"/>
      <c r="K21" s="229"/>
      <c r="L21" s="209"/>
    </row>
    <row r="22" spans="2:14" ht="15" customHeight="1" x14ac:dyDescent="0.25">
      <c r="B22" s="210"/>
      <c r="C22" s="341" t="s">
        <v>169</v>
      </c>
      <c r="D22" s="341"/>
      <c r="E22" s="341"/>
      <c r="F22" s="341"/>
      <c r="G22" s="341"/>
      <c r="H22" s="341"/>
      <c r="I22" s="341"/>
      <c r="J22" s="341"/>
      <c r="K22" s="341"/>
      <c r="L22" s="209"/>
    </row>
    <row r="23" spans="2:14" x14ac:dyDescent="0.25">
      <c r="B23" s="210"/>
      <c r="C23" s="341"/>
      <c r="D23" s="341"/>
      <c r="E23" s="341"/>
      <c r="F23" s="341"/>
      <c r="G23" s="341"/>
      <c r="H23" s="341"/>
      <c r="I23" s="341"/>
      <c r="J23" s="341"/>
      <c r="K23" s="341"/>
      <c r="L23" s="209"/>
    </row>
    <row r="24" spans="2:14" x14ac:dyDescent="0.25">
      <c r="B24" s="210"/>
      <c r="C24" s="341"/>
      <c r="D24" s="341"/>
      <c r="E24" s="341"/>
      <c r="F24" s="341"/>
      <c r="G24" s="341"/>
      <c r="H24" s="341"/>
      <c r="I24" s="341"/>
      <c r="J24" s="341"/>
      <c r="K24" s="341"/>
      <c r="L24" s="209"/>
    </row>
    <row r="25" spans="2:14" ht="37.9" customHeight="1" x14ac:dyDescent="0.25">
      <c r="B25" s="210"/>
      <c r="C25" s="341"/>
      <c r="D25" s="341"/>
      <c r="E25" s="341"/>
      <c r="F25" s="341"/>
      <c r="G25" s="341"/>
      <c r="H25" s="341"/>
      <c r="I25" s="341"/>
      <c r="J25" s="341"/>
      <c r="K25" s="341"/>
      <c r="L25" s="209"/>
      <c r="N25" s="208"/>
    </row>
    <row r="26" spans="2:14" x14ac:dyDescent="0.25">
      <c r="B26" s="210"/>
      <c r="C26" s="212"/>
      <c r="D26" s="212"/>
      <c r="E26" s="212"/>
      <c r="F26" s="212"/>
      <c r="G26" s="212"/>
      <c r="H26" s="212"/>
      <c r="I26" s="212"/>
      <c r="J26" s="212"/>
      <c r="K26" s="212"/>
      <c r="L26" s="209"/>
    </row>
    <row r="27" spans="2:14" x14ac:dyDescent="0.25">
      <c r="B27" s="210"/>
      <c r="C27" s="342" t="s">
        <v>5</v>
      </c>
      <c r="D27" s="342"/>
      <c r="E27" s="342"/>
      <c r="F27" s="342"/>
      <c r="G27" s="342"/>
      <c r="H27" s="342"/>
      <c r="I27" s="342"/>
      <c r="J27" s="342"/>
      <c r="K27" s="342"/>
      <c r="L27" s="209"/>
    </row>
    <row r="28" spans="2:14" x14ac:dyDescent="0.25">
      <c r="B28" s="210"/>
      <c r="C28" s="215"/>
      <c r="D28" s="215"/>
      <c r="E28" s="215"/>
      <c r="F28" s="215"/>
      <c r="G28" s="215"/>
      <c r="H28" s="215"/>
      <c r="I28" s="215"/>
      <c r="J28" s="215"/>
      <c r="K28" s="215"/>
      <c r="L28" s="209"/>
    </row>
    <row r="29" spans="2:14" ht="230.1" customHeight="1" x14ac:dyDescent="0.25">
      <c r="B29" s="210"/>
      <c r="C29" s="341" t="s">
        <v>189</v>
      </c>
      <c r="D29" s="341"/>
      <c r="E29" s="341"/>
      <c r="F29" s="341"/>
      <c r="G29" s="341"/>
      <c r="H29" s="341"/>
      <c r="I29" s="341"/>
      <c r="J29" s="341"/>
      <c r="K29" s="341"/>
      <c r="L29" s="209"/>
    </row>
    <row r="30" spans="2:14" x14ac:dyDescent="0.25">
      <c r="B30" s="210"/>
      <c r="C30" s="215"/>
      <c r="D30" s="215"/>
      <c r="E30" s="215"/>
      <c r="F30" s="215"/>
      <c r="G30" s="215"/>
      <c r="H30" s="215"/>
      <c r="I30" s="215"/>
      <c r="J30" s="215"/>
      <c r="K30" s="215"/>
      <c r="L30" s="209"/>
      <c r="N30" s="228"/>
    </row>
    <row r="31" spans="2:14" x14ac:dyDescent="0.25">
      <c r="B31" s="210"/>
      <c r="C31" s="343" t="s">
        <v>6</v>
      </c>
      <c r="D31" s="343"/>
      <c r="E31" s="343"/>
      <c r="F31" s="343"/>
      <c r="G31" s="343"/>
      <c r="H31" s="343"/>
      <c r="I31" s="343"/>
      <c r="J31" s="343"/>
      <c r="K31" s="343"/>
      <c r="L31" s="209"/>
    </row>
    <row r="32" spans="2:14" x14ac:dyDescent="0.25">
      <c r="B32" s="210"/>
      <c r="C32" s="212"/>
      <c r="D32" s="225"/>
      <c r="E32" s="225"/>
      <c r="F32" s="225"/>
      <c r="G32" s="225"/>
      <c r="H32" s="225"/>
      <c r="I32" s="225"/>
      <c r="J32" s="225"/>
      <c r="K32" s="225"/>
      <c r="L32" s="209"/>
    </row>
    <row r="33" spans="2:14" ht="33" customHeight="1" thickBot="1" x14ac:dyDescent="0.3">
      <c r="B33" s="141"/>
      <c r="C33" s="144"/>
      <c r="D33" s="344" t="s">
        <v>183</v>
      </c>
      <c r="E33" s="344"/>
      <c r="F33" s="344"/>
      <c r="G33" s="344"/>
      <c r="H33" s="344"/>
      <c r="I33" s="344"/>
      <c r="J33" s="344"/>
      <c r="K33" s="344"/>
      <c r="L33" s="142"/>
      <c r="N33" s="226"/>
    </row>
    <row r="34" spans="2:14" ht="50.1" customHeight="1" thickTop="1" thickBot="1" x14ac:dyDescent="0.3">
      <c r="B34" s="315"/>
      <c r="C34" s="316"/>
      <c r="D34" s="145"/>
      <c r="E34" s="317"/>
      <c r="F34" s="345" t="s">
        <v>186</v>
      </c>
      <c r="G34" s="346"/>
      <c r="H34" s="346"/>
      <c r="I34" s="346"/>
      <c r="J34" s="346"/>
      <c r="K34" s="346"/>
      <c r="L34" s="318"/>
      <c r="N34" s="226"/>
    </row>
    <row r="35" spans="2:14" s="322" customFormat="1" ht="50.1" customHeight="1" thickTop="1" x14ac:dyDescent="0.2">
      <c r="B35" s="315"/>
      <c r="C35" s="316"/>
      <c r="D35" s="145"/>
      <c r="E35" s="319"/>
      <c r="F35" s="347" t="s">
        <v>190</v>
      </c>
      <c r="G35" s="347"/>
      <c r="H35" s="347"/>
      <c r="I35" s="347"/>
      <c r="J35" s="347"/>
      <c r="K35" s="347"/>
      <c r="L35" s="318"/>
      <c r="N35" s="323"/>
    </row>
    <row r="36" spans="2:14" s="322" customFormat="1" ht="50.1" customHeight="1" x14ac:dyDescent="0.2">
      <c r="B36" s="315"/>
      <c r="C36" s="316"/>
      <c r="D36" s="145"/>
      <c r="E36" s="326"/>
      <c r="F36" s="347"/>
      <c r="G36" s="347"/>
      <c r="H36" s="347"/>
      <c r="I36" s="347"/>
      <c r="J36" s="347"/>
      <c r="K36" s="347"/>
      <c r="L36" s="318"/>
      <c r="N36" s="323"/>
    </row>
    <row r="37" spans="2:14" ht="66" customHeight="1" x14ac:dyDescent="0.25">
      <c r="B37" s="315"/>
      <c r="C37" s="316"/>
      <c r="D37" s="145"/>
      <c r="E37" s="320"/>
      <c r="F37" s="347" t="s">
        <v>187</v>
      </c>
      <c r="G37" s="346"/>
      <c r="H37" s="346"/>
      <c r="I37" s="346"/>
      <c r="J37" s="346"/>
      <c r="K37" s="346"/>
      <c r="L37" s="318"/>
      <c r="N37" s="226"/>
    </row>
    <row r="38" spans="2:14" ht="15" customHeight="1" x14ac:dyDescent="0.25">
      <c r="B38" s="210"/>
      <c r="C38" s="227"/>
      <c r="D38" s="314"/>
      <c r="E38" s="314"/>
      <c r="F38" s="314"/>
      <c r="G38" s="314"/>
      <c r="H38" s="314"/>
      <c r="I38" s="314"/>
      <c r="J38" s="314"/>
      <c r="K38" s="314"/>
      <c r="L38" s="209"/>
      <c r="N38" s="226"/>
    </row>
    <row r="39" spans="2:14" ht="126" customHeight="1" x14ac:dyDescent="0.25">
      <c r="B39" s="210"/>
      <c r="C39" s="227"/>
      <c r="D39" s="341" t="s">
        <v>199</v>
      </c>
      <c r="E39" s="341"/>
      <c r="F39" s="341"/>
      <c r="G39" s="341"/>
      <c r="H39" s="341"/>
      <c r="I39" s="341"/>
      <c r="J39" s="341"/>
      <c r="K39" s="341"/>
      <c r="L39" s="209"/>
      <c r="N39" s="226"/>
    </row>
    <row r="40" spans="2:14" ht="85.5" customHeight="1" x14ac:dyDescent="0.25">
      <c r="B40" s="210"/>
      <c r="C40" s="227"/>
      <c r="D40" s="341" t="s">
        <v>200</v>
      </c>
      <c r="E40" s="341"/>
      <c r="F40" s="341"/>
      <c r="G40" s="341"/>
      <c r="H40" s="341"/>
      <c r="I40" s="341"/>
      <c r="J40" s="341"/>
      <c r="K40" s="341"/>
      <c r="L40" s="209"/>
      <c r="N40" s="226"/>
    </row>
    <row r="41" spans="2:14" ht="55.5" customHeight="1" x14ac:dyDescent="0.25">
      <c r="B41" s="210"/>
      <c r="C41" s="227"/>
      <c r="D41" s="341" t="s">
        <v>195</v>
      </c>
      <c r="E41" s="341"/>
      <c r="F41" s="341"/>
      <c r="G41" s="341"/>
      <c r="H41" s="341"/>
      <c r="I41" s="341"/>
      <c r="J41" s="341"/>
      <c r="K41" s="341"/>
      <c r="L41" s="209"/>
      <c r="N41" s="226"/>
    </row>
    <row r="42" spans="2:14" ht="113.25" customHeight="1" x14ac:dyDescent="0.25">
      <c r="B42" s="210"/>
      <c r="C42" s="227"/>
      <c r="D42" s="341" t="s">
        <v>196</v>
      </c>
      <c r="E42" s="341"/>
      <c r="F42" s="341"/>
      <c r="G42" s="341"/>
      <c r="H42" s="341"/>
      <c r="I42" s="341"/>
      <c r="J42" s="341"/>
      <c r="K42" s="341"/>
      <c r="L42" s="209"/>
      <c r="N42" s="226"/>
    </row>
    <row r="43" spans="2:14" ht="98.25" customHeight="1" x14ac:dyDescent="0.25">
      <c r="B43" s="210"/>
      <c r="C43" s="227"/>
      <c r="D43" s="341" t="s">
        <v>197</v>
      </c>
      <c r="E43" s="341"/>
      <c r="F43" s="341"/>
      <c r="G43" s="341"/>
      <c r="H43" s="341"/>
      <c r="I43" s="341"/>
      <c r="J43" s="341"/>
      <c r="K43" s="341"/>
      <c r="L43" s="209"/>
      <c r="N43" s="226"/>
    </row>
    <row r="44" spans="2:14" ht="71.25" customHeight="1" x14ac:dyDescent="0.25">
      <c r="B44" s="210"/>
      <c r="C44" s="227"/>
      <c r="D44" s="341" t="s">
        <v>198</v>
      </c>
      <c r="E44" s="341"/>
      <c r="F44" s="341"/>
      <c r="G44" s="341"/>
      <c r="H44" s="341"/>
      <c r="I44" s="341"/>
      <c r="J44" s="341"/>
      <c r="K44" s="341"/>
      <c r="L44" s="209"/>
      <c r="N44" s="226"/>
    </row>
    <row r="45" spans="2:14" x14ac:dyDescent="0.25">
      <c r="B45" s="210"/>
      <c r="C45" s="212"/>
      <c r="D45" s="225"/>
      <c r="E45" s="225"/>
      <c r="F45" s="225"/>
      <c r="G45" s="225"/>
      <c r="H45" s="225"/>
      <c r="I45" s="225"/>
      <c r="J45" s="225"/>
      <c r="K45" s="225"/>
      <c r="L45" s="209"/>
    </row>
    <row r="46" spans="2:14" ht="61.9" customHeight="1" x14ac:dyDescent="0.25">
      <c r="B46" s="210"/>
      <c r="C46" s="220"/>
      <c r="D46" s="341" t="s">
        <v>134</v>
      </c>
      <c r="E46" s="341"/>
      <c r="F46" s="341"/>
      <c r="G46" s="341"/>
      <c r="H46" s="341"/>
      <c r="I46" s="341"/>
      <c r="J46" s="341"/>
      <c r="K46" s="341"/>
      <c r="L46" s="209"/>
    </row>
    <row r="47" spans="2:14" ht="32.450000000000003" customHeight="1" x14ac:dyDescent="0.25">
      <c r="B47" s="210"/>
      <c r="C47" s="220"/>
      <c r="D47" s="341" t="s">
        <v>7</v>
      </c>
      <c r="E47" s="341"/>
      <c r="F47" s="341"/>
      <c r="G47" s="341"/>
      <c r="H47" s="341"/>
      <c r="I47" s="341"/>
      <c r="J47" s="341"/>
      <c r="K47" s="341"/>
      <c r="L47" s="209"/>
    </row>
    <row r="48" spans="2:14" ht="33.6" customHeight="1" x14ac:dyDescent="0.25">
      <c r="B48" s="210"/>
      <c r="C48" s="220"/>
      <c r="D48" s="222"/>
      <c r="E48" s="218"/>
      <c r="F48" s="350" t="s">
        <v>116</v>
      </c>
      <c r="G48" s="350"/>
      <c r="H48" s="350"/>
      <c r="I48" s="350"/>
      <c r="J48" s="350"/>
      <c r="K48" s="350"/>
      <c r="L48" s="209"/>
    </row>
    <row r="49" spans="2:22" ht="32.25" customHeight="1" x14ac:dyDescent="0.25">
      <c r="B49" s="210"/>
      <c r="C49" s="220"/>
      <c r="D49" s="222"/>
      <c r="E49" s="224"/>
      <c r="F49" s="350" t="s">
        <v>170</v>
      </c>
      <c r="G49" s="350"/>
      <c r="H49" s="350"/>
      <c r="I49" s="350"/>
      <c r="J49" s="350"/>
      <c r="K49" s="350"/>
      <c r="L49" s="209"/>
    </row>
    <row r="50" spans="2:22" ht="92.25" customHeight="1" x14ac:dyDescent="0.25">
      <c r="B50" s="210"/>
      <c r="C50" s="220"/>
      <c r="D50" s="222"/>
      <c r="E50" s="223"/>
      <c r="F50" s="350" t="s">
        <v>8</v>
      </c>
      <c r="G50" s="350"/>
      <c r="H50" s="350"/>
      <c r="I50" s="350"/>
      <c r="J50" s="350"/>
      <c r="K50" s="350"/>
      <c r="L50" s="209"/>
    </row>
    <row r="51" spans="2:22" ht="23.25" customHeight="1" x14ac:dyDescent="0.25">
      <c r="B51" s="210"/>
      <c r="C51" s="220"/>
      <c r="D51" s="222"/>
      <c r="E51" s="221"/>
      <c r="F51" s="350" t="s">
        <v>9</v>
      </c>
      <c r="G51" s="350"/>
      <c r="H51" s="350"/>
      <c r="I51" s="350"/>
      <c r="J51" s="350"/>
      <c r="K51" s="350"/>
      <c r="L51" s="209"/>
    </row>
    <row r="52" spans="2:22" ht="45.75" customHeight="1" x14ac:dyDescent="0.25">
      <c r="B52" s="210"/>
      <c r="C52" s="220"/>
      <c r="D52" s="341" t="s">
        <v>171</v>
      </c>
      <c r="E52" s="341"/>
      <c r="F52" s="341"/>
      <c r="G52" s="341"/>
      <c r="H52" s="341"/>
      <c r="I52" s="341"/>
      <c r="J52" s="341"/>
      <c r="K52" s="341"/>
      <c r="L52" s="209"/>
    </row>
    <row r="53" spans="2:22" x14ac:dyDescent="0.25">
      <c r="B53" s="210"/>
      <c r="C53" s="212"/>
      <c r="D53" s="212"/>
      <c r="E53" s="212"/>
      <c r="F53" s="212"/>
      <c r="G53" s="212"/>
      <c r="H53" s="212"/>
      <c r="I53" s="212"/>
      <c r="J53" s="212"/>
      <c r="K53" s="212"/>
      <c r="L53" s="209"/>
    </row>
    <row r="54" spans="2:22" s="140" customFormat="1" ht="82.5" customHeight="1" x14ac:dyDescent="0.25">
      <c r="B54" s="141"/>
      <c r="C54" s="344" t="s">
        <v>142</v>
      </c>
      <c r="D54" s="344"/>
      <c r="E54" s="344"/>
      <c r="F54" s="344"/>
      <c r="G54" s="344"/>
      <c r="H54" s="344"/>
      <c r="I54" s="344"/>
      <c r="J54" s="344"/>
      <c r="K54" s="344"/>
      <c r="L54" s="142"/>
      <c r="N54" s="205"/>
      <c r="O54" s="205"/>
      <c r="P54" s="205"/>
      <c r="Q54" s="205"/>
      <c r="R54" s="205"/>
      <c r="S54" s="205"/>
      <c r="T54" s="205"/>
      <c r="U54" s="205"/>
      <c r="V54" s="205"/>
    </row>
    <row r="55" spans="2:22" s="140" customFormat="1" x14ac:dyDescent="0.25">
      <c r="B55" s="141"/>
      <c r="C55" s="156"/>
      <c r="D55" s="268"/>
      <c r="E55" s="268"/>
      <c r="F55" s="268"/>
      <c r="G55" s="268"/>
      <c r="H55" s="268"/>
      <c r="I55" s="268"/>
      <c r="J55" s="268"/>
      <c r="K55" s="268"/>
      <c r="L55" s="142"/>
      <c r="N55" s="264"/>
    </row>
    <row r="56" spans="2:22" s="140" customFormat="1" ht="48" customHeight="1" x14ac:dyDescent="0.25">
      <c r="B56" s="141"/>
      <c r="C56" s="272"/>
      <c r="D56" s="348" t="s">
        <v>210</v>
      </c>
      <c r="E56" s="348"/>
      <c r="F56" s="348"/>
      <c r="G56" s="348"/>
      <c r="H56" s="348"/>
      <c r="I56" s="348"/>
      <c r="J56" s="348"/>
      <c r="K56" s="348"/>
      <c r="L56" s="142"/>
      <c r="N56" s="264"/>
    </row>
    <row r="57" spans="2:22" s="140" customFormat="1" x14ac:dyDescent="0.25">
      <c r="B57" s="141"/>
      <c r="C57" s="156"/>
      <c r="D57" s="321"/>
      <c r="E57" s="321"/>
      <c r="F57" s="321"/>
      <c r="G57" s="321"/>
      <c r="H57" s="321"/>
      <c r="I57" s="321"/>
      <c r="J57" s="321"/>
      <c r="K57" s="321"/>
      <c r="L57" s="142"/>
      <c r="N57" s="264"/>
    </row>
    <row r="58" spans="2:22" s="140" customFormat="1" ht="47.25" customHeight="1" x14ac:dyDescent="0.25">
      <c r="B58" s="141"/>
      <c r="C58" s="273"/>
      <c r="D58" s="348" t="s">
        <v>136</v>
      </c>
      <c r="E58" s="348"/>
      <c r="F58" s="348"/>
      <c r="G58" s="348"/>
      <c r="H58" s="348"/>
      <c r="I58" s="348"/>
      <c r="J58" s="348"/>
      <c r="K58" s="348"/>
      <c r="L58" s="142"/>
      <c r="N58" s="264"/>
    </row>
    <row r="59" spans="2:22" s="140" customFormat="1" x14ac:dyDescent="0.25">
      <c r="B59" s="141"/>
      <c r="C59" s="156"/>
      <c r="D59" s="321"/>
      <c r="E59" s="321"/>
      <c r="F59" s="321"/>
      <c r="G59" s="321"/>
      <c r="H59" s="321"/>
      <c r="I59" s="321"/>
      <c r="J59" s="321"/>
      <c r="K59" s="321"/>
      <c r="L59" s="142"/>
    </row>
    <row r="60" spans="2:22" ht="65.25" customHeight="1" x14ac:dyDescent="0.25">
      <c r="B60" s="210"/>
      <c r="C60" s="219"/>
      <c r="D60" s="350" t="s">
        <v>140</v>
      </c>
      <c r="E60" s="350"/>
      <c r="F60" s="350"/>
      <c r="G60" s="350"/>
      <c r="H60" s="350"/>
      <c r="I60" s="350"/>
      <c r="J60" s="350"/>
      <c r="K60" s="350"/>
      <c r="L60" s="209"/>
    </row>
    <row r="61" spans="2:22" s="140" customFormat="1" x14ac:dyDescent="0.25">
      <c r="B61" s="141"/>
      <c r="C61" s="156"/>
      <c r="D61" s="156"/>
      <c r="E61" s="156"/>
      <c r="F61" s="156"/>
      <c r="G61" s="156"/>
      <c r="H61" s="156"/>
      <c r="I61" s="156"/>
      <c r="J61" s="156"/>
      <c r="K61" s="156"/>
      <c r="L61" s="142"/>
    </row>
    <row r="62" spans="2:22" ht="46.15" customHeight="1" x14ac:dyDescent="0.25">
      <c r="B62" s="210"/>
      <c r="C62" s="349" t="s">
        <v>141</v>
      </c>
      <c r="D62" s="349"/>
      <c r="E62" s="349"/>
      <c r="F62" s="349"/>
      <c r="G62" s="349"/>
      <c r="H62" s="349"/>
      <c r="I62" s="349"/>
      <c r="J62" s="349"/>
      <c r="K62" s="349"/>
      <c r="L62" s="209"/>
    </row>
    <row r="63" spans="2:22" ht="46.15" customHeight="1" x14ac:dyDescent="0.25">
      <c r="B63" s="210"/>
      <c r="C63" s="212"/>
      <c r="D63" s="218"/>
      <c r="E63" s="352" t="s">
        <v>122</v>
      </c>
      <c r="F63" s="352"/>
      <c r="G63" s="352"/>
      <c r="H63" s="352"/>
      <c r="I63" s="352"/>
      <c r="J63" s="352"/>
      <c r="K63" s="352"/>
      <c r="L63" s="209"/>
    </row>
    <row r="64" spans="2:22" ht="45.6" customHeight="1" x14ac:dyDescent="0.25">
      <c r="B64" s="210"/>
      <c r="C64" s="212"/>
      <c r="D64" s="217"/>
      <c r="E64" s="352" t="s">
        <v>135</v>
      </c>
      <c r="F64" s="352"/>
      <c r="G64" s="352"/>
      <c r="H64" s="352"/>
      <c r="I64" s="352"/>
      <c r="J64" s="352"/>
      <c r="K64" s="352"/>
      <c r="L64" s="209"/>
    </row>
    <row r="65" spans="2:14" ht="45" customHeight="1" x14ac:dyDescent="0.25">
      <c r="B65" s="210"/>
      <c r="C65" s="212"/>
      <c r="D65" s="216"/>
      <c r="E65" s="352" t="s">
        <v>114</v>
      </c>
      <c r="F65" s="352"/>
      <c r="G65" s="352"/>
      <c r="H65" s="352"/>
      <c r="I65" s="352"/>
      <c r="J65" s="352"/>
      <c r="K65" s="352"/>
      <c r="L65" s="209"/>
    </row>
    <row r="66" spans="2:14" x14ac:dyDescent="0.25">
      <c r="B66" s="210"/>
      <c r="C66" s="212"/>
      <c r="D66" s="214"/>
      <c r="E66" s="214"/>
      <c r="F66" s="213"/>
      <c r="G66" s="213"/>
      <c r="H66" s="213"/>
      <c r="I66" s="213"/>
      <c r="J66" s="213"/>
      <c r="K66" s="213"/>
      <c r="L66" s="209"/>
    </row>
    <row r="67" spans="2:14" x14ac:dyDescent="0.25">
      <c r="B67" s="210"/>
      <c r="C67" s="212"/>
      <c r="D67" s="211"/>
      <c r="E67" s="211"/>
      <c r="F67" s="211"/>
      <c r="G67" s="211"/>
      <c r="H67" s="211"/>
      <c r="I67" s="211"/>
      <c r="J67" s="211"/>
      <c r="K67" s="211"/>
      <c r="L67" s="209"/>
    </row>
    <row r="68" spans="2:14" ht="17.45" customHeight="1" x14ac:dyDescent="0.25">
      <c r="B68" s="210"/>
      <c r="C68" s="342" t="s">
        <v>10</v>
      </c>
      <c r="D68" s="342"/>
      <c r="E68" s="342"/>
      <c r="F68" s="342"/>
      <c r="G68" s="342"/>
      <c r="H68" s="342"/>
      <c r="I68" s="342"/>
      <c r="J68" s="342"/>
      <c r="K68" s="342"/>
      <c r="L68" s="209"/>
    </row>
    <row r="69" spans="2:14" ht="30" customHeight="1" x14ac:dyDescent="0.25">
      <c r="B69" s="210"/>
      <c r="C69" s="341" t="s">
        <v>191</v>
      </c>
      <c r="D69" s="341"/>
      <c r="E69" s="341"/>
      <c r="F69" s="341"/>
      <c r="G69" s="341"/>
      <c r="H69" s="341"/>
      <c r="I69" s="341"/>
      <c r="J69" s="341"/>
      <c r="K69" s="341"/>
      <c r="L69" s="209"/>
      <c r="N69" s="208"/>
    </row>
    <row r="70" spans="2:14" ht="15" customHeight="1" x14ac:dyDescent="0.25">
      <c r="B70" s="210"/>
      <c r="C70" s="305"/>
      <c r="D70" s="305"/>
      <c r="E70" s="305"/>
      <c r="F70" s="305"/>
      <c r="G70" s="305"/>
      <c r="H70" s="305"/>
      <c r="I70" s="305"/>
      <c r="J70" s="305"/>
      <c r="K70" s="305"/>
      <c r="L70" s="209"/>
      <c r="N70" s="208"/>
    </row>
    <row r="71" spans="2:14" ht="105" customHeight="1" x14ac:dyDescent="0.25">
      <c r="B71" s="210"/>
      <c r="C71" s="306"/>
      <c r="D71" s="344" t="s">
        <v>192</v>
      </c>
      <c r="E71" s="344"/>
      <c r="F71" s="344"/>
      <c r="G71" s="344"/>
      <c r="H71" s="344"/>
      <c r="I71" s="344"/>
      <c r="J71" s="344"/>
      <c r="K71" s="344"/>
      <c r="L71" s="209"/>
      <c r="N71" s="208"/>
    </row>
    <row r="72" spans="2:14" x14ac:dyDescent="0.25">
      <c r="B72" s="207"/>
      <c r="C72" s="351"/>
      <c r="D72" s="351"/>
      <c r="E72" s="351"/>
      <c r="F72" s="351"/>
      <c r="G72" s="351"/>
      <c r="H72" s="351"/>
      <c r="I72" s="351"/>
      <c r="J72" s="351"/>
      <c r="K72" s="351"/>
      <c r="L72" s="206"/>
    </row>
  </sheetData>
  <mergeCells count="34">
    <mergeCell ref="D71:K71"/>
    <mergeCell ref="C68:K68"/>
    <mergeCell ref="C69:K69"/>
    <mergeCell ref="C72:K72"/>
    <mergeCell ref="D60:K60"/>
    <mergeCell ref="E63:K63"/>
    <mergeCell ref="E64:K64"/>
    <mergeCell ref="E65:K65"/>
    <mergeCell ref="D47:K47"/>
    <mergeCell ref="F48:K48"/>
    <mergeCell ref="F49:K49"/>
    <mergeCell ref="F50:K50"/>
    <mergeCell ref="F51:K51"/>
    <mergeCell ref="D52:K52"/>
    <mergeCell ref="C54:K54"/>
    <mergeCell ref="D56:K56"/>
    <mergeCell ref="D58:K58"/>
    <mergeCell ref="C62:K62"/>
    <mergeCell ref="D41:K41"/>
    <mergeCell ref="D44:K44"/>
    <mergeCell ref="D46:K46"/>
    <mergeCell ref="C18:K20"/>
    <mergeCell ref="C22:K25"/>
    <mergeCell ref="C27:K27"/>
    <mergeCell ref="C29:K29"/>
    <mergeCell ref="C31:K31"/>
    <mergeCell ref="D39:K39"/>
    <mergeCell ref="D42:K42"/>
    <mergeCell ref="D43:K43"/>
    <mergeCell ref="D33:K33"/>
    <mergeCell ref="F34:K34"/>
    <mergeCell ref="F35:K36"/>
    <mergeCell ref="F37:K37"/>
    <mergeCell ref="D40:K40"/>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52"/>
  <sheetViews>
    <sheetView tabSelected="1" zoomScale="80" zoomScaleNormal="80" workbookViewId="0">
      <selection activeCell="K18" sqref="K18"/>
    </sheetView>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6"/>
    <col min="22" max="22" width="8.7109375" style="340"/>
    <col min="23" max="16384" width="8.7109375" style="4"/>
  </cols>
  <sheetData>
    <row r="2" spans="3:22" x14ac:dyDescent="0.2">
      <c r="U2" s="86">
        <v>4</v>
      </c>
      <c r="V2" s="340">
        <v>-1.5</v>
      </c>
    </row>
    <row r="3" spans="3:22" ht="12.75" customHeight="1" x14ac:dyDescent="0.2">
      <c r="D3" s="353" t="s">
        <v>115</v>
      </c>
      <c r="E3" s="354"/>
      <c r="F3" s="355"/>
      <c r="H3" s="303"/>
      <c r="I3" s="303"/>
      <c r="J3" s="303"/>
      <c r="K3" s="303"/>
      <c r="U3" s="86">
        <v>7</v>
      </c>
      <c r="V3" s="340">
        <v>-1.48</v>
      </c>
    </row>
    <row r="4" spans="3:22" ht="13.5" customHeight="1" thickBot="1" x14ac:dyDescent="0.25">
      <c r="D4" s="155" t="s">
        <v>11</v>
      </c>
      <c r="E4" s="7"/>
      <c r="F4" s="29" t="s">
        <v>113</v>
      </c>
      <c r="H4" s="303"/>
      <c r="I4" s="303"/>
      <c r="J4" s="303"/>
      <c r="K4" s="303"/>
      <c r="V4" s="340">
        <v>-1.46</v>
      </c>
    </row>
    <row r="5" spans="3:22" ht="14.25" customHeight="1" thickTop="1" thickBot="1" x14ac:dyDescent="0.25">
      <c r="D5" s="154" t="s">
        <v>185</v>
      </c>
      <c r="E5" s="192"/>
      <c r="F5" s="138">
        <v>4</v>
      </c>
      <c r="H5" s="303"/>
      <c r="I5" s="303"/>
      <c r="J5" s="303"/>
      <c r="K5" s="303"/>
      <c r="V5" s="340">
        <v>-1.44</v>
      </c>
    </row>
    <row r="6" spans="3:22" ht="14.45" customHeight="1" thickTop="1" thickBot="1" x14ac:dyDescent="0.25">
      <c r="C6" s="311" t="s">
        <v>181</v>
      </c>
      <c r="D6" s="154" t="s">
        <v>125</v>
      </c>
      <c r="E6" s="200"/>
      <c r="F6" s="243">
        <v>0.16000000000000003</v>
      </c>
      <c r="H6" s="303"/>
      <c r="I6" s="303"/>
      <c r="J6" s="303"/>
      <c r="K6" s="303"/>
      <c r="V6" s="340">
        <v>-1.42</v>
      </c>
    </row>
    <row r="7" spans="3:22" ht="14.25" customHeight="1" thickTop="1" thickBot="1" x14ac:dyDescent="0.25">
      <c r="C7" s="311" t="s">
        <v>180</v>
      </c>
      <c r="D7" s="175" t="s">
        <v>126</v>
      </c>
      <c r="E7" s="176"/>
      <c r="F7" s="139">
        <v>0.16000000000000003</v>
      </c>
      <c r="H7" s="303"/>
      <c r="I7" s="303"/>
      <c r="J7" s="303"/>
      <c r="K7" s="303"/>
      <c r="V7" s="340">
        <v>-1.4</v>
      </c>
    </row>
    <row r="8" spans="3:22" ht="13.5" thickTop="1" x14ac:dyDescent="0.2">
      <c r="D8" s="5"/>
      <c r="F8" s="6"/>
      <c r="V8" s="340">
        <v>-1.38</v>
      </c>
    </row>
    <row r="9" spans="3:22" ht="18" customHeight="1" x14ac:dyDescent="0.2">
      <c r="D9" s="5"/>
      <c r="F9" s="6"/>
      <c r="H9" s="379" t="s">
        <v>121</v>
      </c>
      <c r="I9" s="371"/>
      <c r="J9" s="372"/>
      <c r="K9" s="266"/>
      <c r="V9" s="340">
        <v>-1.3599999999999999</v>
      </c>
    </row>
    <row r="10" spans="3:22" ht="29.45" customHeight="1" x14ac:dyDescent="0.2">
      <c r="F10" s="192"/>
      <c r="H10" s="356" t="s">
        <v>120</v>
      </c>
      <c r="I10" s="357"/>
      <c r="J10" s="376" t="s">
        <v>143</v>
      </c>
      <c r="K10" s="267"/>
      <c r="P10" s="241"/>
      <c r="V10" s="340">
        <v>-1.3399999999999999</v>
      </c>
    </row>
    <row r="11" spans="3:22" ht="49.5" customHeight="1" x14ac:dyDescent="0.2">
      <c r="D11" s="244"/>
      <c r="E11" s="244"/>
      <c r="F11" s="244"/>
      <c r="H11" s="265" t="s">
        <v>119</v>
      </c>
      <c r="I11" s="265" t="str">
        <f>"Debt below 60% of GDP in T+"&amp;10+F5</f>
        <v>Debt below 60% of GDP in T+14</v>
      </c>
      <c r="J11" s="377"/>
      <c r="K11" s="383"/>
      <c r="L11" s="384"/>
      <c r="M11" s="384"/>
      <c r="N11" s="384"/>
      <c r="O11" s="384"/>
      <c r="P11" s="384"/>
      <c r="V11" s="340">
        <v>-1.3199999999999998</v>
      </c>
    </row>
    <row r="12" spans="3:22" ht="45" customHeight="1" x14ac:dyDescent="0.2">
      <c r="C12" s="311" t="s">
        <v>181</v>
      </c>
      <c r="D12" s="370" t="s">
        <v>201</v>
      </c>
      <c r="E12" s="371"/>
      <c r="F12" s="371"/>
      <c r="G12" s="372"/>
      <c r="H12" s="204" t="str">
        <f ca="1">IF(MIN(OFFSET('Adjustment scenario'!$F$77,0,$F$5,1,11))&gt;-3.05,"ok","Not met")</f>
        <v>ok</v>
      </c>
      <c r="I12" s="204" t="str">
        <f ca="1">IF(OFFSET('Adjustment scenario'!$F$57,0,$F$5+10,1,1)&lt;60,"ok","Not met")</f>
        <v>ok</v>
      </c>
      <c r="J12" s="204" t="str">
        <f>IF(AND($F$5=4,COUNTIF(G18:J18,"&gt;" &amp; F6)=0),"Not binding",IF(AND($F$5=7,COUNTIF(G18:M18,"&gt;" &amp; F6)=0),"Not binding","Binding"))</f>
        <v>Not binding</v>
      </c>
      <c r="K12" s="381"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OK
The adjustment in F6 fulfills all requirements including the deficit resilience safeguard</v>
      </c>
      <c r="L12" s="382"/>
      <c r="M12" s="382"/>
      <c r="N12" s="382"/>
      <c r="O12" s="382"/>
      <c r="P12" s="382"/>
      <c r="Q12" s="307"/>
      <c r="V12" s="340">
        <v>-1.3</v>
      </c>
    </row>
    <row r="13" spans="3:22" ht="45" customHeight="1" x14ac:dyDescent="0.2">
      <c r="C13" s="311" t="s">
        <v>180</v>
      </c>
      <c r="D13" s="370" t="s">
        <v>202</v>
      </c>
      <c r="E13" s="371"/>
      <c r="F13" s="371"/>
      <c r="G13" s="372"/>
      <c r="H13" s="204" t="str">
        <f ca="1">IF(MIN(OFFSET('Adjust. no safeguard'!$F$77,0,$F$5,1,11))&gt;-3.05,"ok","Not met")</f>
        <v>ok</v>
      </c>
      <c r="I13" s="204" t="str">
        <f ca="1">IF(OFFSET('Adjust. no safeguard'!$F$57,0,$F$5+10,1,1)&lt;60,"ok","Not met")</f>
        <v>ok</v>
      </c>
      <c r="J13" s="257"/>
      <c r="K13" s="381"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OK
The adjustment in F7 ensures that the debt and deficit remain
below the Treaty reference values over the medium term</v>
      </c>
      <c r="L13" s="382"/>
      <c r="M13" s="382"/>
      <c r="N13" s="382"/>
      <c r="O13" s="382"/>
      <c r="P13" s="382"/>
      <c r="Q13" s="307"/>
      <c r="V13" s="340">
        <v>-1.28</v>
      </c>
    </row>
    <row r="14" spans="3:22" ht="34.5" customHeight="1" x14ac:dyDescent="0.2">
      <c r="D14" s="378" t="s">
        <v>193</v>
      </c>
      <c r="E14" s="378"/>
      <c r="F14" s="378"/>
      <c r="G14" s="378"/>
      <c r="H14" s="378"/>
      <c r="I14" s="378"/>
      <c r="J14" s="378"/>
      <c r="K14" s="258"/>
      <c r="L14" s="307"/>
      <c r="M14" s="307"/>
      <c r="V14" s="340">
        <v>-1.26</v>
      </c>
    </row>
    <row r="15" spans="3:22" ht="12.75" customHeight="1" x14ac:dyDescent="0.2">
      <c r="K15" s="258"/>
      <c r="L15" s="307"/>
      <c r="M15" s="307"/>
      <c r="V15" s="340">
        <v>-1.24</v>
      </c>
    </row>
    <row r="16" spans="3:22" ht="15.75" customHeight="1" x14ac:dyDescent="0.2">
      <c r="D16" s="237"/>
      <c r="E16" s="237"/>
      <c r="F16" s="237"/>
      <c r="G16" s="364" t="s">
        <v>138</v>
      </c>
      <c r="H16" s="365"/>
      <c r="I16" s="365"/>
      <c r="J16" s="366"/>
      <c r="K16" s="173"/>
      <c r="L16" s="307"/>
      <c r="M16" s="307"/>
      <c r="N16" s="173"/>
      <c r="O16" s="173"/>
      <c r="P16" s="164"/>
      <c r="V16" s="340">
        <v>-1.22</v>
      </c>
    </row>
    <row r="17" spans="4:22" ht="13.5" customHeight="1" x14ac:dyDescent="0.2">
      <c r="D17" s="237"/>
      <c r="E17" s="159"/>
      <c r="F17" s="165"/>
      <c r="G17" s="160">
        <v>2025</v>
      </c>
      <c r="H17" s="161">
        <v>2026</v>
      </c>
      <c r="I17" s="161">
        <v>2027</v>
      </c>
      <c r="J17" s="161">
        <v>2028</v>
      </c>
      <c r="K17" s="161">
        <v>2029</v>
      </c>
      <c r="L17" s="161">
        <v>2030</v>
      </c>
      <c r="M17" s="174">
        <v>2031</v>
      </c>
      <c r="N17" s="166"/>
      <c r="P17" s="166"/>
      <c r="V17" s="340">
        <v>-1.2</v>
      </c>
    </row>
    <row r="18" spans="4:22" ht="15" customHeight="1" x14ac:dyDescent="0.2">
      <c r="D18" s="367" t="s">
        <v>14</v>
      </c>
      <c r="E18" s="368"/>
      <c r="F18" s="369"/>
      <c r="G18" s="163">
        <f>'Adjustment scenario'!G12-'Adjustment scenario'!F12</f>
        <v>0.16000000000000003</v>
      </c>
      <c r="H18" s="170">
        <f>'Adjustment scenario'!H12-'Adjustment scenario'!G12</f>
        <v>0.16000000000000003</v>
      </c>
      <c r="I18" s="170">
        <f>'Adjustment scenario'!I12-'Adjustment scenario'!H12</f>
        <v>0.16000000000000003</v>
      </c>
      <c r="J18" s="170">
        <f>'Adjustment scenario'!J12-'Adjustment scenario'!I12</f>
        <v>0.16000000000000003</v>
      </c>
      <c r="K18" s="170">
        <f>'Adjustment scenario'!K12-'Adjustment scenario'!J12</f>
        <v>0</v>
      </c>
      <c r="L18" s="170">
        <f>'Adjustment scenario'!L12-'Adjustment scenario'!K12</f>
        <v>0</v>
      </c>
      <c r="M18" s="171">
        <f>'Adjustment scenario'!M12-'Adjustment scenario'!L12</f>
        <v>0</v>
      </c>
      <c r="N18" s="163"/>
      <c r="P18" s="163"/>
      <c r="V18" s="340">
        <v>-1.1800000000000002</v>
      </c>
    </row>
    <row r="19" spans="4:22" ht="15" customHeight="1" x14ac:dyDescent="0.2">
      <c r="D19" s="199" t="s">
        <v>20</v>
      </c>
      <c r="E19" s="193"/>
      <c r="F19" s="194"/>
      <c r="G19" s="195">
        <f>'Adjustment scenario'!G78</f>
        <v>-1.1306580173033454</v>
      </c>
      <c r="H19" s="196">
        <f>'Adjustment scenario'!H78</f>
        <v>-1.1727121465840675</v>
      </c>
      <c r="I19" s="196">
        <f>'Adjustment scenario'!I78</f>
        <v>-1.1205644000253794</v>
      </c>
      <c r="J19" s="196">
        <f>'Adjustment scenario'!J78</f>
        <v>-0.97290291686381658</v>
      </c>
      <c r="K19" s="196">
        <f>'Adjustment scenario'!K78</f>
        <v>-1.1583205003938155</v>
      </c>
      <c r="L19" s="196">
        <f>'Adjustment scenario'!L78</f>
        <v>-1.3538627479527838</v>
      </c>
      <c r="M19" s="198">
        <f>'Adjustment scenario'!M78</f>
        <v>-1.5618979617209281</v>
      </c>
      <c r="N19" s="182"/>
      <c r="P19" s="163"/>
      <c r="V19" s="340">
        <v>-1.1600000000000001</v>
      </c>
    </row>
    <row r="20" spans="4:22" ht="15" customHeight="1" x14ac:dyDescent="0.2">
      <c r="D20" s="361" t="s">
        <v>118</v>
      </c>
      <c r="E20" s="362"/>
      <c r="F20" s="363"/>
      <c r="G20" s="324"/>
      <c r="H20" s="325"/>
      <c r="I20" s="325"/>
      <c r="J20" s="325">
        <f>IF(F5=4,'Adjustment scenario'!J12,"")</f>
        <v>0.27020090000000013</v>
      </c>
      <c r="K20" s="251"/>
      <c r="L20" s="251"/>
      <c r="M20" s="252" t="str">
        <f>IF(F5=7,'Adjustment scenario'!M12,"")</f>
        <v/>
      </c>
      <c r="N20" s="182"/>
      <c r="P20" s="163"/>
      <c r="V20" s="340">
        <v>-1.1400000000000001</v>
      </c>
    </row>
    <row r="21" spans="4:22" ht="15" customHeight="1" x14ac:dyDescent="0.2">
      <c r="D21" s="378" t="s">
        <v>139</v>
      </c>
      <c r="E21" s="378"/>
      <c r="F21" s="378"/>
      <c r="G21" s="378"/>
      <c r="H21" s="378"/>
      <c r="I21" s="378"/>
      <c r="J21" s="378"/>
      <c r="K21" s="197"/>
      <c r="L21" s="197"/>
      <c r="M21" s="197"/>
      <c r="N21" s="182"/>
      <c r="P21" s="163"/>
      <c r="V21" s="340">
        <v>-1.1200000000000001</v>
      </c>
    </row>
    <row r="22" spans="4:22" ht="15" customHeight="1" x14ac:dyDescent="0.2">
      <c r="D22" s="247"/>
      <c r="E22" s="247"/>
      <c r="F22" s="247"/>
      <c r="G22" s="256"/>
      <c r="H22" s="169"/>
      <c r="I22" s="169"/>
      <c r="J22" s="169"/>
      <c r="K22" s="196"/>
      <c r="L22" s="196"/>
      <c r="M22" s="196"/>
      <c r="N22" s="182"/>
      <c r="P22" s="163"/>
      <c r="V22" s="340">
        <v>-1.1000000000000001</v>
      </c>
    </row>
    <row r="23" spans="4:22" ht="15" customHeight="1" x14ac:dyDescent="0.2">
      <c r="D23" s="247"/>
      <c r="E23" s="247"/>
      <c r="F23" s="248"/>
      <c r="G23" s="364" t="s">
        <v>128</v>
      </c>
      <c r="H23" s="365"/>
      <c r="I23" s="365"/>
      <c r="J23" s="366"/>
      <c r="K23" s="196"/>
      <c r="L23" s="196"/>
      <c r="M23" s="169"/>
      <c r="N23" s="182"/>
      <c r="P23" s="163"/>
      <c r="V23" s="340">
        <v>-1.08</v>
      </c>
    </row>
    <row r="24" spans="4:22" ht="15" customHeight="1" x14ac:dyDescent="0.2">
      <c r="D24" s="255"/>
      <c r="E24" s="247"/>
      <c r="F24" s="248"/>
      <c r="G24" s="160">
        <v>2025</v>
      </c>
      <c r="H24" s="161">
        <v>2026</v>
      </c>
      <c r="I24" s="161">
        <v>2027</v>
      </c>
      <c r="J24" s="161">
        <v>2028</v>
      </c>
      <c r="K24" s="161">
        <v>2029</v>
      </c>
      <c r="L24" s="161">
        <v>2030</v>
      </c>
      <c r="M24" s="174">
        <v>2031</v>
      </c>
      <c r="N24" s="182"/>
      <c r="P24" s="163"/>
      <c r="V24" s="340">
        <v>-1.06</v>
      </c>
    </row>
    <row r="25" spans="4:22" ht="15" customHeight="1" x14ac:dyDescent="0.2">
      <c r="D25" s="367" t="s">
        <v>14</v>
      </c>
      <c r="E25" s="368"/>
      <c r="F25" s="369"/>
      <c r="G25" s="245">
        <f>'Adjust. no safeguard'!G12-'Adjust. no safeguard'!F12</f>
        <v>0.16000000000000003</v>
      </c>
      <c r="H25" s="170">
        <f>'Adjust. no safeguard'!H12-'Adjust. no safeguard'!G12</f>
        <v>0.16000000000000003</v>
      </c>
      <c r="I25" s="170">
        <f>'Adjust. no safeguard'!I12-'Adjust. no safeguard'!H12</f>
        <v>0.16000000000000003</v>
      </c>
      <c r="J25" s="170">
        <f>'Adjust. no safeguard'!J12-'Adjust. no safeguard'!I12</f>
        <v>0.16000000000000003</v>
      </c>
      <c r="K25" s="170">
        <f>'Adjust. no safeguard'!K12-'Adjust. no safeguard'!J12</f>
        <v>0</v>
      </c>
      <c r="L25" s="170">
        <f>'Adjust. no safeguard'!L12-'Adjust. no safeguard'!K12</f>
        <v>0</v>
      </c>
      <c r="M25" s="171">
        <f>'Adjust. no safeguard'!M12-'Adjust. no safeguard'!L12</f>
        <v>0</v>
      </c>
      <c r="N25" s="182"/>
      <c r="P25" s="163"/>
      <c r="V25" s="340">
        <v>-1.04</v>
      </c>
    </row>
    <row r="26" spans="4:22" ht="15" customHeight="1" x14ac:dyDescent="0.2">
      <c r="D26" s="246" t="s">
        <v>20</v>
      </c>
      <c r="E26" s="239"/>
      <c r="F26" s="240"/>
      <c r="G26" s="168">
        <f>'Adjust. no safeguard'!G78</f>
        <v>-1.1306580173033454</v>
      </c>
      <c r="H26" s="169">
        <f>'Adjust. no safeguard'!H78</f>
        <v>-1.1727121465840675</v>
      </c>
      <c r="I26" s="169">
        <f>'Adjust. no safeguard'!I78</f>
        <v>-1.1205644000253794</v>
      </c>
      <c r="J26" s="169">
        <f>'Adjust. no safeguard'!J78</f>
        <v>-0.97290291686381658</v>
      </c>
      <c r="K26" s="169">
        <f>'Adjust. no safeguard'!K78</f>
        <v>-1.1583205003938155</v>
      </c>
      <c r="L26" s="169">
        <f>'Adjust. no safeguard'!L78</f>
        <v>-1.3538627479527838</v>
      </c>
      <c r="M26" s="172">
        <f>'Adjust. no safeguard'!M78</f>
        <v>-1.5618979617209281</v>
      </c>
      <c r="N26" s="182"/>
      <c r="P26" s="163"/>
      <c r="V26" s="340">
        <v>-1.02</v>
      </c>
    </row>
    <row r="27" spans="4:22" ht="15" customHeight="1" x14ac:dyDescent="0.2">
      <c r="D27" s="373" t="s">
        <v>118</v>
      </c>
      <c r="E27" s="374"/>
      <c r="F27" s="375"/>
      <c r="G27" s="324"/>
      <c r="H27" s="325"/>
      <c r="I27" s="325"/>
      <c r="J27" s="325">
        <f>IF(F5=4,'Adjust. no safeguard'!J12,"")</f>
        <v>0.27020090000000013</v>
      </c>
      <c r="K27" s="251"/>
      <c r="L27" s="251"/>
      <c r="M27" s="252" t="str">
        <f>IF(F5=7,'Adjust. no safeguard'!M12,"")</f>
        <v/>
      </c>
      <c r="N27" s="163"/>
      <c r="P27" s="167"/>
      <c r="V27" s="340">
        <v>-1</v>
      </c>
    </row>
    <row r="28" spans="4:22" x14ac:dyDescent="0.2">
      <c r="D28" s="249"/>
      <c r="E28" s="249"/>
      <c r="F28" s="249"/>
      <c r="G28" s="250"/>
      <c r="H28" s="163"/>
      <c r="Q28" s="162"/>
      <c r="V28" s="340">
        <v>-0.98</v>
      </c>
    </row>
    <row r="29" spans="4:22" x14ac:dyDescent="0.2">
      <c r="D29" s="253"/>
      <c r="E29" s="253"/>
      <c r="F29" s="253"/>
      <c r="G29" s="254"/>
      <c r="Q29" s="162"/>
      <c r="V29" s="340">
        <v>-0.96</v>
      </c>
    </row>
    <row r="30" spans="4:22" x14ac:dyDescent="0.2">
      <c r="J30" s="166"/>
      <c r="V30" s="340">
        <v>-0.94</v>
      </c>
    </row>
    <row r="31" spans="4:22" x14ac:dyDescent="0.2">
      <c r="G31" s="358" t="s">
        <v>127</v>
      </c>
      <c r="H31" s="359"/>
      <c r="J31" s="163"/>
      <c r="V31" s="340">
        <v>-0.91999999999999993</v>
      </c>
    </row>
    <row r="32" spans="4:22" x14ac:dyDescent="0.2">
      <c r="G32" s="147" t="s">
        <v>123</v>
      </c>
      <c r="H32" s="148" t="s">
        <v>124</v>
      </c>
      <c r="J32" s="163"/>
      <c r="V32" s="340">
        <v>-0.9</v>
      </c>
    </row>
    <row r="33" spans="4:22" x14ac:dyDescent="0.2">
      <c r="D33" s="177" t="s">
        <v>185</v>
      </c>
      <c r="E33" s="150"/>
      <c r="F33" s="151"/>
      <c r="G33" s="201">
        <v>4</v>
      </c>
      <c r="H33" s="201">
        <v>7</v>
      </c>
      <c r="J33" s="163"/>
      <c r="V33" s="340">
        <v>-0.88</v>
      </c>
    </row>
    <row r="34" spans="4:22" x14ac:dyDescent="0.2">
      <c r="D34" s="202" t="s">
        <v>118</v>
      </c>
      <c r="E34" s="152"/>
      <c r="F34" s="152"/>
      <c r="G34" s="203">
        <v>0.27020090000000002</v>
      </c>
      <c r="H34" s="149">
        <v>0.19020090000000006</v>
      </c>
      <c r="J34" s="163"/>
      <c r="V34" s="340">
        <v>-0.86</v>
      </c>
    </row>
    <row r="35" spans="4:22" ht="96" customHeight="1" x14ac:dyDescent="0.2">
      <c r="D35" s="360" t="s">
        <v>194</v>
      </c>
      <c r="E35" s="360"/>
      <c r="F35" s="360"/>
      <c r="G35" s="360"/>
      <c r="H35" s="360"/>
      <c r="J35" s="163"/>
      <c r="V35" s="340">
        <v>-0.84000000000000008</v>
      </c>
    </row>
    <row r="36" spans="4:22" ht="19.899999999999999" customHeight="1" x14ac:dyDescent="0.2">
      <c r="G36" s="380"/>
      <c r="H36" s="380"/>
      <c r="I36" s="380"/>
      <c r="J36" s="380"/>
      <c r="K36" s="380"/>
      <c r="L36" s="380"/>
      <c r="M36" s="380"/>
      <c r="N36" s="380"/>
      <c r="O36" s="380"/>
      <c r="V36" s="340">
        <v>-0.82</v>
      </c>
    </row>
    <row r="37" spans="4:22" x14ac:dyDescent="0.2">
      <c r="K37" s="162"/>
      <c r="V37" s="340">
        <v>-0.8</v>
      </c>
    </row>
    <row r="38" spans="4:22" x14ac:dyDescent="0.2">
      <c r="K38" s="162"/>
      <c r="V38" s="340">
        <v>-0.78</v>
      </c>
    </row>
    <row r="39" spans="4:22" ht="13.15" customHeight="1" x14ac:dyDescent="0.2">
      <c r="J39" s="163"/>
      <c r="V39" s="340">
        <v>-0.76</v>
      </c>
    </row>
    <row r="40" spans="4:22" x14ac:dyDescent="0.2">
      <c r="V40" s="340">
        <v>-0.74</v>
      </c>
    </row>
    <row r="41" spans="4:22" x14ac:dyDescent="0.2">
      <c r="V41" s="340">
        <v>-0.72</v>
      </c>
    </row>
    <row r="42" spans="4:22" x14ac:dyDescent="0.2">
      <c r="V42" s="340">
        <v>-0.7</v>
      </c>
    </row>
    <row r="43" spans="4:22" x14ac:dyDescent="0.2">
      <c r="V43" s="340">
        <v>-0.67999999999999994</v>
      </c>
    </row>
    <row r="44" spans="4:22" x14ac:dyDescent="0.2">
      <c r="V44" s="340">
        <v>-0.66</v>
      </c>
    </row>
    <row r="45" spans="4:22" x14ac:dyDescent="0.2">
      <c r="V45" s="340">
        <v>-0.64</v>
      </c>
    </row>
    <row r="46" spans="4:22" x14ac:dyDescent="0.2">
      <c r="V46" s="340">
        <v>-0.62</v>
      </c>
    </row>
    <row r="47" spans="4:22" x14ac:dyDescent="0.2">
      <c r="V47" s="340">
        <v>-0.6</v>
      </c>
    </row>
    <row r="48" spans="4:22" x14ac:dyDescent="0.2">
      <c r="V48" s="340">
        <v>-0.57999999999999996</v>
      </c>
    </row>
    <row r="49" spans="22:22" x14ac:dyDescent="0.2">
      <c r="V49" s="340">
        <v>-0.56000000000000005</v>
      </c>
    </row>
    <row r="50" spans="22:22" x14ac:dyDescent="0.2">
      <c r="V50" s="340">
        <v>-0.54</v>
      </c>
    </row>
    <row r="51" spans="22:22" x14ac:dyDescent="0.2">
      <c r="V51" s="340">
        <v>-0.52</v>
      </c>
    </row>
    <row r="52" spans="22:22" x14ac:dyDescent="0.2">
      <c r="V52" s="340">
        <v>-0.5</v>
      </c>
    </row>
    <row r="53" spans="22:22" x14ac:dyDescent="0.2">
      <c r="V53" s="340">
        <v>-0.48</v>
      </c>
    </row>
    <row r="54" spans="22:22" x14ac:dyDescent="0.2">
      <c r="V54" s="340">
        <v>-0.46</v>
      </c>
    </row>
    <row r="55" spans="22:22" x14ac:dyDescent="0.2">
      <c r="V55" s="340">
        <v>-0.44</v>
      </c>
    </row>
    <row r="56" spans="22:22" x14ac:dyDescent="0.2">
      <c r="V56" s="340">
        <v>-0.42</v>
      </c>
    </row>
    <row r="57" spans="22:22" x14ac:dyDescent="0.2">
      <c r="V57" s="340">
        <v>-0.4</v>
      </c>
    </row>
    <row r="58" spans="22:22" x14ac:dyDescent="0.2">
      <c r="V58" s="340">
        <v>-0.38</v>
      </c>
    </row>
    <row r="59" spans="22:22" x14ac:dyDescent="0.2">
      <c r="V59" s="340">
        <v>-0.36</v>
      </c>
    </row>
    <row r="60" spans="22:22" x14ac:dyDescent="0.2">
      <c r="V60" s="340">
        <v>-0.33999999999999997</v>
      </c>
    </row>
    <row r="61" spans="22:22" x14ac:dyDescent="0.2">
      <c r="V61" s="340">
        <v>-0.32</v>
      </c>
    </row>
    <row r="62" spans="22:22" x14ac:dyDescent="0.2">
      <c r="V62" s="340">
        <v>-0.3</v>
      </c>
    </row>
    <row r="63" spans="22:22" x14ac:dyDescent="0.2">
      <c r="V63" s="340">
        <v>-0.28000000000000003</v>
      </c>
    </row>
    <row r="64" spans="22:22" x14ac:dyDescent="0.2">
      <c r="V64" s="340">
        <v>-0.26</v>
      </c>
    </row>
    <row r="65" spans="22:22" x14ac:dyDescent="0.2">
      <c r="V65" s="340">
        <v>-0.24</v>
      </c>
    </row>
    <row r="66" spans="22:22" x14ac:dyDescent="0.2">
      <c r="V66" s="340">
        <v>-0.21999999999999997</v>
      </c>
    </row>
    <row r="67" spans="22:22" x14ac:dyDescent="0.2">
      <c r="V67" s="340">
        <v>-0.2</v>
      </c>
    </row>
    <row r="68" spans="22:22" x14ac:dyDescent="0.2">
      <c r="V68" s="340">
        <v>-0.18</v>
      </c>
    </row>
    <row r="69" spans="22:22" x14ac:dyDescent="0.2">
      <c r="V69" s="340">
        <v>-0.16</v>
      </c>
    </row>
    <row r="70" spans="22:22" x14ac:dyDescent="0.2">
      <c r="V70" s="340">
        <v>-0.14000000000000001</v>
      </c>
    </row>
    <row r="71" spans="22:22" x14ac:dyDescent="0.2">
      <c r="V71" s="340">
        <v>-0.12</v>
      </c>
    </row>
    <row r="72" spans="22:22" x14ac:dyDescent="0.2">
      <c r="V72" s="340">
        <v>-0.1</v>
      </c>
    </row>
    <row r="73" spans="22:22" x14ac:dyDescent="0.2">
      <c r="V73" s="340">
        <v>-8.0000000000000016E-2</v>
      </c>
    </row>
    <row r="74" spans="22:22" x14ac:dyDescent="0.2">
      <c r="V74" s="340">
        <v>-0.06</v>
      </c>
    </row>
    <row r="75" spans="22:22" x14ac:dyDescent="0.2">
      <c r="V75" s="340">
        <v>-3.999999999999998E-2</v>
      </c>
    </row>
    <row r="76" spans="22:22" x14ac:dyDescent="0.2">
      <c r="V76" s="340">
        <v>-2.0000000000000018E-2</v>
      </c>
    </row>
    <row r="77" spans="22:22" x14ac:dyDescent="0.2">
      <c r="V77" s="340">
        <v>0</v>
      </c>
    </row>
    <row r="78" spans="22:22" x14ac:dyDescent="0.2">
      <c r="V78" s="340">
        <v>0.02</v>
      </c>
    </row>
    <row r="79" spans="22:22" x14ac:dyDescent="0.2">
      <c r="V79" s="340">
        <v>0.04</v>
      </c>
    </row>
    <row r="80" spans="22:22" x14ac:dyDescent="0.2">
      <c r="V80" s="340">
        <v>0.06</v>
      </c>
    </row>
    <row r="81" spans="22:22" x14ac:dyDescent="0.2">
      <c r="V81" s="340">
        <v>0.08</v>
      </c>
    </row>
    <row r="82" spans="22:22" x14ac:dyDescent="0.2">
      <c r="V82" s="340">
        <v>0.1</v>
      </c>
    </row>
    <row r="83" spans="22:22" x14ac:dyDescent="0.2">
      <c r="V83" s="340">
        <v>0.12</v>
      </c>
    </row>
    <row r="84" spans="22:22" x14ac:dyDescent="0.2">
      <c r="V84" s="340">
        <v>0.14000000000000001</v>
      </c>
    </row>
    <row r="85" spans="22:22" x14ac:dyDescent="0.2">
      <c r="V85" s="340">
        <v>0.16000000000000003</v>
      </c>
    </row>
    <row r="86" spans="22:22" x14ac:dyDescent="0.2">
      <c r="V86" s="340">
        <v>0.18000000000000005</v>
      </c>
    </row>
    <row r="87" spans="22:22" x14ac:dyDescent="0.2">
      <c r="V87" s="340">
        <v>0.2</v>
      </c>
    </row>
    <row r="88" spans="22:22" x14ac:dyDescent="0.2">
      <c r="V88" s="340">
        <v>0.22</v>
      </c>
    </row>
    <row r="89" spans="22:22" x14ac:dyDescent="0.2">
      <c r="V89" s="340">
        <v>0.24</v>
      </c>
    </row>
    <row r="90" spans="22:22" x14ac:dyDescent="0.2">
      <c r="V90" s="340">
        <v>0.26</v>
      </c>
    </row>
    <row r="91" spans="22:22" x14ac:dyDescent="0.2">
      <c r="V91" s="340">
        <v>0.28000000000000003</v>
      </c>
    </row>
    <row r="92" spans="22:22" x14ac:dyDescent="0.2">
      <c r="V92" s="340">
        <v>0.3</v>
      </c>
    </row>
    <row r="93" spans="22:22" x14ac:dyDescent="0.2">
      <c r="V93" s="340">
        <v>0.31999999999999995</v>
      </c>
    </row>
    <row r="94" spans="22:22" x14ac:dyDescent="0.2">
      <c r="V94" s="340">
        <v>0.33999999999999997</v>
      </c>
    </row>
    <row r="95" spans="22:22" x14ac:dyDescent="0.2">
      <c r="V95" s="340">
        <v>0.36</v>
      </c>
    </row>
    <row r="96" spans="22:22" x14ac:dyDescent="0.2">
      <c r="V96" s="340">
        <v>0.38</v>
      </c>
    </row>
    <row r="97" spans="22:22" x14ac:dyDescent="0.2">
      <c r="V97" s="340">
        <v>0.4</v>
      </c>
    </row>
    <row r="98" spans="22:22" x14ac:dyDescent="0.2">
      <c r="V98" s="340">
        <v>0.42</v>
      </c>
    </row>
    <row r="99" spans="22:22" x14ac:dyDescent="0.2">
      <c r="V99" s="340">
        <v>0.43999999999999995</v>
      </c>
    </row>
    <row r="100" spans="22:22" x14ac:dyDescent="0.2">
      <c r="V100" s="340">
        <v>0.45999999999999996</v>
      </c>
    </row>
    <row r="101" spans="22:22" x14ac:dyDescent="0.2">
      <c r="V101" s="340">
        <v>0.48</v>
      </c>
    </row>
    <row r="102" spans="22:22" x14ac:dyDescent="0.2">
      <c r="V102" s="340">
        <v>0.5</v>
      </c>
    </row>
    <row r="103" spans="22:22" x14ac:dyDescent="0.2">
      <c r="V103" s="340">
        <v>0.52</v>
      </c>
    </row>
    <row r="104" spans="22:22" x14ac:dyDescent="0.2">
      <c r="V104" s="340">
        <v>0.54</v>
      </c>
    </row>
    <row r="105" spans="22:22" x14ac:dyDescent="0.2">
      <c r="V105" s="340">
        <v>0.56000000000000005</v>
      </c>
    </row>
    <row r="106" spans="22:22" x14ac:dyDescent="0.2">
      <c r="V106" s="340">
        <v>0.58000000000000007</v>
      </c>
    </row>
    <row r="107" spans="22:22" x14ac:dyDescent="0.2">
      <c r="V107" s="340">
        <v>0.60000000000000009</v>
      </c>
    </row>
    <row r="108" spans="22:22" x14ac:dyDescent="0.2">
      <c r="V108" s="340">
        <v>0.62000000000000011</v>
      </c>
    </row>
    <row r="109" spans="22:22" x14ac:dyDescent="0.2">
      <c r="V109" s="340">
        <v>0.6399999999999999</v>
      </c>
    </row>
    <row r="110" spans="22:22" x14ac:dyDescent="0.2">
      <c r="V110" s="340">
        <v>0.65999999999999992</v>
      </c>
    </row>
    <row r="111" spans="22:22" x14ac:dyDescent="0.2">
      <c r="V111" s="340">
        <v>0.67999999999999994</v>
      </c>
    </row>
    <row r="112" spans="22:22" x14ac:dyDescent="0.2">
      <c r="V112" s="340">
        <v>0.7</v>
      </c>
    </row>
    <row r="113" spans="22:22" x14ac:dyDescent="0.2">
      <c r="V113" s="340">
        <v>0.72</v>
      </c>
    </row>
    <row r="114" spans="22:22" x14ac:dyDescent="0.2">
      <c r="V114" s="340">
        <v>0.74</v>
      </c>
    </row>
    <row r="115" spans="22:22" x14ac:dyDescent="0.2">
      <c r="V115" s="340">
        <v>0.76</v>
      </c>
    </row>
    <row r="116" spans="22:22" x14ac:dyDescent="0.2">
      <c r="V116" s="340">
        <v>0.78</v>
      </c>
    </row>
    <row r="117" spans="22:22" x14ac:dyDescent="0.2">
      <c r="V117" s="340">
        <v>0.8</v>
      </c>
    </row>
    <row r="118" spans="22:22" x14ac:dyDescent="0.2">
      <c r="V118" s="340">
        <v>0.82000000000000006</v>
      </c>
    </row>
    <row r="119" spans="22:22" x14ac:dyDescent="0.2">
      <c r="V119" s="340">
        <v>0.84000000000000008</v>
      </c>
    </row>
    <row r="120" spans="22:22" x14ac:dyDescent="0.2">
      <c r="V120" s="340">
        <v>0.8600000000000001</v>
      </c>
    </row>
    <row r="121" spans="22:22" x14ac:dyDescent="0.2">
      <c r="V121" s="340">
        <v>0.87999999999999989</v>
      </c>
    </row>
    <row r="122" spans="22:22" x14ac:dyDescent="0.2">
      <c r="V122" s="340">
        <v>0.89999999999999991</v>
      </c>
    </row>
    <row r="123" spans="22:22" x14ac:dyDescent="0.2">
      <c r="V123" s="340">
        <v>0.91999999999999993</v>
      </c>
    </row>
    <row r="124" spans="22:22" x14ac:dyDescent="0.2">
      <c r="V124" s="340">
        <v>0.94</v>
      </c>
    </row>
    <row r="125" spans="22:22" x14ac:dyDescent="0.2">
      <c r="V125" s="340">
        <v>0.96</v>
      </c>
    </row>
    <row r="126" spans="22:22" x14ac:dyDescent="0.2">
      <c r="V126" s="340">
        <v>0.98</v>
      </c>
    </row>
    <row r="127" spans="22:22" x14ac:dyDescent="0.2">
      <c r="V127" s="340">
        <v>1</v>
      </c>
    </row>
    <row r="128" spans="22:22" x14ac:dyDescent="0.2">
      <c r="V128" s="340">
        <v>1.02</v>
      </c>
    </row>
    <row r="129" spans="22:22" x14ac:dyDescent="0.2">
      <c r="V129" s="340">
        <v>1.04</v>
      </c>
    </row>
    <row r="130" spans="22:22" x14ac:dyDescent="0.2">
      <c r="V130" s="340">
        <v>1.06</v>
      </c>
    </row>
    <row r="131" spans="22:22" x14ac:dyDescent="0.2">
      <c r="V131" s="340">
        <v>1.08</v>
      </c>
    </row>
    <row r="132" spans="22:22" x14ac:dyDescent="0.2">
      <c r="V132" s="340">
        <v>1.1000000000000001</v>
      </c>
    </row>
    <row r="133" spans="22:22" x14ac:dyDescent="0.2">
      <c r="V133" s="340">
        <v>1.1200000000000001</v>
      </c>
    </row>
    <row r="134" spans="22:22" x14ac:dyDescent="0.2">
      <c r="V134" s="340">
        <v>1.1399999999999999</v>
      </c>
    </row>
    <row r="135" spans="22:22" x14ac:dyDescent="0.2">
      <c r="V135" s="340">
        <v>1.1599999999999999</v>
      </c>
    </row>
    <row r="136" spans="22:22" x14ac:dyDescent="0.2">
      <c r="V136" s="340">
        <v>1.18</v>
      </c>
    </row>
    <row r="137" spans="22:22" x14ac:dyDescent="0.2">
      <c r="V137" s="340">
        <v>1.2</v>
      </c>
    </row>
    <row r="138" spans="22:22" x14ac:dyDescent="0.2">
      <c r="V138" s="340">
        <v>1.22</v>
      </c>
    </row>
    <row r="139" spans="22:22" x14ac:dyDescent="0.2">
      <c r="V139" s="340">
        <v>1.24</v>
      </c>
    </row>
    <row r="140" spans="22:22" x14ac:dyDescent="0.2">
      <c r="V140" s="340">
        <v>1.26</v>
      </c>
    </row>
    <row r="141" spans="22:22" x14ac:dyDescent="0.2">
      <c r="V141" s="340">
        <v>1.28</v>
      </c>
    </row>
    <row r="142" spans="22:22" x14ac:dyDescent="0.2">
      <c r="V142" s="340">
        <v>1.3</v>
      </c>
    </row>
    <row r="143" spans="22:22" x14ac:dyDescent="0.2">
      <c r="V143" s="340">
        <v>1.32</v>
      </c>
    </row>
    <row r="144" spans="22:22" x14ac:dyDescent="0.2">
      <c r="V144" s="340">
        <v>1.34</v>
      </c>
    </row>
    <row r="145" spans="22:22" x14ac:dyDescent="0.2">
      <c r="V145" s="340">
        <v>1.36</v>
      </c>
    </row>
    <row r="146" spans="22:22" x14ac:dyDescent="0.2">
      <c r="V146" s="340">
        <v>1.38</v>
      </c>
    </row>
    <row r="147" spans="22:22" x14ac:dyDescent="0.2">
      <c r="V147" s="340">
        <v>1.4</v>
      </c>
    </row>
    <row r="148" spans="22:22" x14ac:dyDescent="0.2">
      <c r="V148" s="340">
        <v>1.42</v>
      </c>
    </row>
    <row r="149" spans="22:22" x14ac:dyDescent="0.2">
      <c r="V149" s="340">
        <v>1.44</v>
      </c>
    </row>
    <row r="150" spans="22:22" x14ac:dyDescent="0.2">
      <c r="V150" s="340">
        <v>1.46</v>
      </c>
    </row>
    <row r="151" spans="22:22" x14ac:dyDescent="0.2">
      <c r="V151" s="340">
        <v>1.48</v>
      </c>
    </row>
    <row r="152" spans="22:22" x14ac:dyDescent="0.2">
      <c r="V152" s="340">
        <v>1.5</v>
      </c>
    </row>
  </sheetData>
  <mergeCells count="20">
    <mergeCell ref="G36:O36"/>
    <mergeCell ref="D14:J14"/>
    <mergeCell ref="K12:P12"/>
    <mergeCell ref="K13:P13"/>
    <mergeCell ref="K11:P11"/>
    <mergeCell ref="D3:F3"/>
    <mergeCell ref="H10:I10"/>
    <mergeCell ref="G31:H31"/>
    <mergeCell ref="D35:H35"/>
    <mergeCell ref="D20:F20"/>
    <mergeCell ref="G16:J16"/>
    <mergeCell ref="D18:F18"/>
    <mergeCell ref="D12:G12"/>
    <mergeCell ref="D13:G13"/>
    <mergeCell ref="D25:F25"/>
    <mergeCell ref="D27:F27"/>
    <mergeCell ref="G23:J23"/>
    <mergeCell ref="J10:J11"/>
    <mergeCell ref="D21:J21"/>
    <mergeCell ref="H9:J9"/>
  </mergeCells>
  <conditionalFormatting sqref="L17:N27">
    <cfRule type="expression" dxfId="16" priority="25">
      <formula>$F$5=4</formula>
    </cfRule>
  </conditionalFormatting>
  <conditionalFormatting sqref="K17:N27">
    <cfRule type="expression" dxfId="15" priority="24">
      <formula>$F$5=4</formula>
    </cfRule>
  </conditionalFormatting>
  <conditionalFormatting sqref="K17:K20 K23:K27">
    <cfRule type="expression" dxfId="14" priority="26">
      <formula>$F$5=4</formula>
    </cfRule>
  </conditionalFormatting>
  <conditionalFormatting sqref="G19:J19">
    <cfRule type="cellIs" dxfId="13" priority="20" operator="lessThan">
      <formula>-1.55</formula>
    </cfRule>
  </conditionalFormatting>
  <conditionalFormatting sqref="K19:M19">
    <cfRule type="expression" dxfId="12" priority="19">
      <formula>AND($F$5=7,K19&lt;-1.55)</formula>
    </cfRule>
  </conditionalFormatting>
  <conditionalFormatting sqref="K13 C7 C13">
    <cfRule type="expression" dxfId="11" priority="9">
      <formula>AND($H$13="ok",$I$13="ok")</formula>
    </cfRule>
  </conditionalFormatting>
  <conditionalFormatting sqref="K12 C6 C12">
    <cfRule type="expression" dxfId="10"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 F7" xr:uid="{3226D5ED-A6CD-4418-96B9-4860C290988B}">
      <formula1>$V$2:$V$152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heetViews>
  <sheetFormatPr defaultColWidth="8.85546875" defaultRowHeight="12.75" x14ac:dyDescent="0.2"/>
  <cols>
    <col min="1" max="1" width="8.7109375" style="108" customWidth="1"/>
    <col min="2" max="2" width="58.42578125" style="108" customWidth="1"/>
    <col min="3" max="6" width="8.7109375" style="108" customWidth="1"/>
    <col min="7" max="16384" width="8.85546875" style="108"/>
  </cols>
  <sheetData>
    <row r="1" spans="1:54" s="45" customFormat="1" ht="24.75" customHeight="1" x14ac:dyDescent="0.2">
      <c r="B1" s="101"/>
    </row>
    <row r="2" spans="1:54" s="45" customFormat="1" ht="11.25" customHeight="1" x14ac:dyDescent="0.2">
      <c r="B2" s="102"/>
    </row>
    <row r="3" spans="1:54" s="45" customFormat="1" ht="11.25" customHeight="1" x14ac:dyDescent="0.2">
      <c r="B3" s="103" t="s">
        <v>11</v>
      </c>
      <c r="C3" s="104" t="s">
        <v>113</v>
      </c>
    </row>
    <row r="4" spans="1:54" s="45" customFormat="1" ht="11.25" customHeight="1" x14ac:dyDescent="0.2">
      <c r="B4" s="105"/>
      <c r="C4" s="12"/>
    </row>
    <row r="5" spans="1:54" s="45" customFormat="1" ht="11.25" customHeight="1" x14ac:dyDescent="0.2">
      <c r="B5" s="106" t="s">
        <v>117</v>
      </c>
      <c r="C5" s="12">
        <v>2024</v>
      </c>
    </row>
    <row r="6" spans="1:54" x14ac:dyDescent="0.2">
      <c r="A6" s="45"/>
      <c r="B6" s="107" t="s">
        <v>22</v>
      </c>
      <c r="C6" s="242">
        <f>C5+'Criteria results'!$F$5</f>
        <v>2028</v>
      </c>
    </row>
    <row r="8" spans="1:54" s="109" customFormat="1" ht="12" customHeight="1" x14ac:dyDescent="0.2">
      <c r="B8" s="110" t="s">
        <v>23</v>
      </c>
      <c r="C8" s="111"/>
      <c r="D8" s="111"/>
      <c r="E8" s="111"/>
      <c r="F8" s="111"/>
      <c r="G8" s="111"/>
      <c r="H8" s="111"/>
      <c r="I8" s="111"/>
      <c r="J8" s="111"/>
      <c r="K8" s="111"/>
      <c r="L8" s="111"/>
      <c r="M8" s="111"/>
      <c r="N8" s="111"/>
      <c r="O8" s="111"/>
    </row>
    <row r="9" spans="1:54" x14ac:dyDescent="0.2">
      <c r="B9" s="45"/>
      <c r="C9" s="112">
        <v>2021</v>
      </c>
      <c r="D9" s="112">
        <v>2022</v>
      </c>
      <c r="E9" s="112">
        <v>2023</v>
      </c>
      <c r="F9" s="112">
        <v>2024</v>
      </c>
      <c r="G9" s="112">
        <v>2025</v>
      </c>
      <c r="H9" s="112">
        <v>2026</v>
      </c>
      <c r="I9" s="112">
        <v>2027</v>
      </c>
      <c r="J9" s="112">
        <v>2028</v>
      </c>
      <c r="K9" s="112">
        <v>2029</v>
      </c>
      <c r="L9" s="112">
        <v>2030</v>
      </c>
      <c r="M9" s="112">
        <v>2031</v>
      </c>
      <c r="N9" s="112">
        <v>2032</v>
      </c>
      <c r="O9" s="112">
        <v>2033</v>
      </c>
      <c r="P9" s="112">
        <v>2034</v>
      </c>
      <c r="Q9" s="112">
        <v>2035</v>
      </c>
      <c r="R9" s="112">
        <v>2036</v>
      </c>
      <c r="S9" s="112">
        <v>2037</v>
      </c>
      <c r="T9" s="112">
        <v>2038</v>
      </c>
      <c r="U9" s="112">
        <v>2039</v>
      </c>
      <c r="V9" s="112">
        <v>2040</v>
      </c>
      <c r="W9" s="112">
        <v>2041</v>
      </c>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row>
    <row r="10" spans="1:54" s="113" customFormat="1" x14ac:dyDescent="0.2">
      <c r="B10" s="114" t="s">
        <v>24</v>
      </c>
      <c r="C10" s="115"/>
      <c r="D10" s="115"/>
      <c r="E10" s="115"/>
      <c r="F10" s="115"/>
      <c r="G10" s="115"/>
      <c r="H10" s="115"/>
      <c r="I10" s="115"/>
      <c r="J10" s="115"/>
      <c r="K10" s="115"/>
      <c r="L10" s="115"/>
      <c r="M10" s="115"/>
      <c r="N10" s="115"/>
      <c r="O10" s="115"/>
    </row>
    <row r="11" spans="1:54" x14ac:dyDescent="0.2">
      <c r="B11" s="116" t="s">
        <v>211</v>
      </c>
      <c r="C11" s="117"/>
      <c r="D11" s="117"/>
      <c r="E11" s="117"/>
      <c r="F11" s="117"/>
      <c r="G11" s="117"/>
      <c r="H11" s="117"/>
      <c r="I11" s="117"/>
      <c r="J11" s="117"/>
      <c r="K11" s="117"/>
      <c r="L11" s="117"/>
      <c r="M11" s="117"/>
      <c r="N11" s="117"/>
      <c r="O11" s="117"/>
    </row>
    <row r="12" spans="1:54" x14ac:dyDescent="0.2">
      <c r="A12" s="45"/>
      <c r="B12" s="45" t="s">
        <v>21</v>
      </c>
      <c r="C12" s="44">
        <v>43.287930000000003</v>
      </c>
      <c r="D12" s="118">
        <v>38.058250000000001</v>
      </c>
      <c r="E12" s="118">
        <v>37.344900000000003</v>
      </c>
      <c r="F12" s="118">
        <v>38.258670000000002</v>
      </c>
      <c r="G12" s="44" t="s">
        <v>25</v>
      </c>
      <c r="H12" s="44" t="s">
        <v>25</v>
      </c>
      <c r="I12" s="44" t="s">
        <v>25</v>
      </c>
      <c r="J12" s="44" t="s">
        <v>25</v>
      </c>
      <c r="K12" s="44" t="s">
        <v>25</v>
      </c>
      <c r="L12" s="44" t="s">
        <v>25</v>
      </c>
      <c r="M12" s="44" t="s">
        <v>25</v>
      </c>
      <c r="N12" s="44" t="s">
        <v>25</v>
      </c>
      <c r="O12" s="44" t="s">
        <v>25</v>
      </c>
    </row>
    <row r="13" spans="1:54" x14ac:dyDescent="0.2">
      <c r="A13" s="45"/>
      <c r="B13" s="45" t="s">
        <v>26</v>
      </c>
      <c r="C13" s="44">
        <v>-1.471627</v>
      </c>
      <c r="D13" s="118">
        <v>-0.89109400000000005</v>
      </c>
      <c r="E13" s="118">
        <v>0.7080978</v>
      </c>
      <c r="F13" s="118">
        <v>-0.36979909999999999</v>
      </c>
      <c r="G13" s="332"/>
      <c r="H13" s="332"/>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9.8800999999999993E-3</v>
      </c>
      <c r="D14" s="118">
        <v>0.1602539</v>
      </c>
      <c r="E14" s="118">
        <v>3.2523000000000001E-3</v>
      </c>
      <c r="F14" s="118">
        <v>2.5601999999999999E-3</v>
      </c>
      <c r="G14" s="118">
        <v>1.5619E-3</v>
      </c>
      <c r="H14" s="118">
        <v>3.3098299999999997E-2</v>
      </c>
      <c r="I14" s="118">
        <v>0</v>
      </c>
      <c r="J14" s="118">
        <v>0</v>
      </c>
      <c r="K14" s="118">
        <v>0</v>
      </c>
      <c r="L14" s="118">
        <v>0</v>
      </c>
      <c r="M14" s="118">
        <v>0</v>
      </c>
      <c r="N14" s="118">
        <v>0</v>
      </c>
      <c r="O14" s="118">
        <v>0</v>
      </c>
      <c r="P14" s="118">
        <v>0</v>
      </c>
      <c r="Q14" s="118">
        <v>0</v>
      </c>
      <c r="R14" s="118">
        <v>0</v>
      </c>
      <c r="S14" s="118">
        <v>0</v>
      </c>
      <c r="T14" s="118">
        <v>0</v>
      </c>
      <c r="U14" s="118">
        <v>0</v>
      </c>
      <c r="V14" s="118">
        <v>0</v>
      </c>
      <c r="W14" s="118">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1.4649000000000001</v>
      </c>
      <c r="D15" s="118">
        <v>0.97889720000000002</v>
      </c>
      <c r="E15" s="118">
        <v>1.865075</v>
      </c>
      <c r="F15" s="118">
        <v>0.94640000000000002</v>
      </c>
      <c r="G15" s="118">
        <v>2.7175029999999998</v>
      </c>
      <c r="H15" s="118">
        <v>3.073</v>
      </c>
      <c r="I15" s="118">
        <v>0</v>
      </c>
      <c r="J15" s="118">
        <v>0</v>
      </c>
      <c r="K15" s="118">
        <v>0</v>
      </c>
      <c r="L15" s="118">
        <v>0</v>
      </c>
      <c r="M15" s="118">
        <v>0</v>
      </c>
      <c r="N15" s="118">
        <v>0</v>
      </c>
      <c r="O15" s="118">
        <v>0</v>
      </c>
      <c r="P15" s="118">
        <v>0</v>
      </c>
      <c r="Q15" s="118">
        <v>0</v>
      </c>
      <c r="R15" s="118">
        <v>0</v>
      </c>
      <c r="S15" s="118">
        <v>0</v>
      </c>
      <c r="T15" s="118">
        <v>0</v>
      </c>
      <c r="U15" s="118">
        <v>0</v>
      </c>
      <c r="V15" s="118">
        <v>0</v>
      </c>
      <c r="W15" s="118">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1.464899</v>
      </c>
      <c r="D16" s="118">
        <v>0.97889780000000004</v>
      </c>
      <c r="E16" s="118">
        <v>1.865075</v>
      </c>
      <c r="F16" s="118">
        <v>0.94640139999999995</v>
      </c>
      <c r="G16" s="118">
        <v>2.7174999999999998</v>
      </c>
      <c r="H16" s="118">
        <v>3.073</v>
      </c>
      <c r="I16" s="118">
        <v>0</v>
      </c>
      <c r="J16" s="118">
        <v>0</v>
      </c>
      <c r="K16" s="118">
        <v>0</v>
      </c>
      <c r="L16" s="118">
        <v>0</v>
      </c>
      <c r="M16" s="118">
        <v>0</v>
      </c>
      <c r="N16" s="118">
        <v>0</v>
      </c>
      <c r="O16" s="118">
        <v>0</v>
      </c>
      <c r="P16" s="118">
        <v>0</v>
      </c>
      <c r="Q16" s="118">
        <v>0</v>
      </c>
      <c r="R16" s="118">
        <v>0</v>
      </c>
      <c r="S16" s="118">
        <v>0</v>
      </c>
      <c r="T16" s="118">
        <v>0</v>
      </c>
      <c r="U16" s="118">
        <v>0</v>
      </c>
      <c r="V16" s="118">
        <v>0</v>
      </c>
      <c r="W16" s="118">
        <v>0</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12" t="s">
        <v>188</v>
      </c>
      <c r="C17" s="44"/>
      <c r="D17" s="313">
        <v>0</v>
      </c>
      <c r="E17" s="313">
        <v>0</v>
      </c>
      <c r="F17" s="313">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6" t="s">
        <v>184</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19">
        <f t="shared" si="0"/>
        <v>14.76225</v>
      </c>
      <c r="E20" s="119">
        <f t="shared" si="0"/>
        <v>15.0023</v>
      </c>
      <c r="F20" s="119">
        <f t="shared" si="0"/>
        <v>15.355459999999999</v>
      </c>
      <c r="G20" s="119">
        <f t="shared" si="0"/>
        <v>15.69932</v>
      </c>
      <c r="H20" s="119">
        <f t="shared" si="0"/>
        <v>15.968810000000001</v>
      </c>
      <c r="I20" s="119">
        <f t="shared" si="0"/>
        <v>16.088950000000001</v>
      </c>
      <c r="J20" s="119">
        <f t="shared" si="0"/>
        <v>16.263380000000002</v>
      </c>
      <c r="K20" s="119">
        <f t="shared" si="0"/>
        <v>16.436700000000002</v>
      </c>
      <c r="L20" s="119">
        <f t="shared" si="0"/>
        <v>16.614419999999999</v>
      </c>
      <c r="M20" s="119">
        <f t="shared" si="0"/>
        <v>16.799599999999998</v>
      </c>
      <c r="N20" s="119">
        <f t="shared" si="0"/>
        <v>16.989449999999998</v>
      </c>
      <c r="O20" s="119">
        <f t="shared" si="0"/>
        <v>17.176099999999998</v>
      </c>
      <c r="P20" s="119">
        <f t="shared" si="0"/>
        <v>17.335729999999998</v>
      </c>
      <c r="Q20" s="119">
        <f t="shared" si="0"/>
        <v>17.498619999999999</v>
      </c>
      <c r="R20" s="119">
        <f t="shared" si="0"/>
        <v>17.639989999999997</v>
      </c>
      <c r="S20" s="119">
        <f t="shared" si="0"/>
        <v>17.741549999999997</v>
      </c>
      <c r="T20" s="119">
        <f t="shared" si="0"/>
        <v>17.8386</v>
      </c>
      <c r="U20" s="119">
        <f t="shared" ref="U20:W20" si="1">(U21+U22+U23+U24-U25)</f>
        <v>17.935040000000001</v>
      </c>
      <c r="V20" s="119">
        <f t="shared" si="1"/>
        <v>18.015550000000001</v>
      </c>
      <c r="W20" s="119">
        <f t="shared" si="1"/>
        <v>18.110669999999999</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0" t="s">
        <v>31</v>
      </c>
      <c r="C21" s="44">
        <v>0</v>
      </c>
      <c r="D21" s="119">
        <v>6.4259300000000001</v>
      </c>
      <c r="E21" s="119">
        <v>6.6543799999999997</v>
      </c>
      <c r="F21" s="119">
        <v>7.0058499999999997</v>
      </c>
      <c r="G21" s="119">
        <v>7.3380399999999995</v>
      </c>
      <c r="H21" s="119">
        <v>7.5797400000000001</v>
      </c>
      <c r="I21" s="119">
        <v>7.6282600000000009</v>
      </c>
      <c r="J21" s="119">
        <v>7.7829600000000001</v>
      </c>
      <c r="K21" s="119">
        <v>7.9348400000000003</v>
      </c>
      <c r="L21" s="119">
        <v>8.0839800000000004</v>
      </c>
      <c r="M21" s="119">
        <v>8.2282099999999989</v>
      </c>
      <c r="N21" s="119">
        <v>8.3795400000000004</v>
      </c>
      <c r="O21" s="119">
        <v>8.5283499999999997</v>
      </c>
      <c r="P21" s="119">
        <v>8.6550899999999995</v>
      </c>
      <c r="Q21" s="119">
        <v>8.7937600000000007</v>
      </c>
      <c r="R21" s="119">
        <v>8.9194399999999998</v>
      </c>
      <c r="S21" s="119">
        <v>9.012929999999999</v>
      </c>
      <c r="T21" s="119">
        <v>9.10351</v>
      </c>
      <c r="U21" s="119">
        <v>9.1924399999999995</v>
      </c>
      <c r="V21" s="119">
        <v>9.258420000000001</v>
      </c>
      <c r="W21" s="119">
        <v>9.3320699999999999</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1" t="s">
        <v>32</v>
      </c>
      <c r="C22" s="44">
        <v>0</v>
      </c>
      <c r="D22" s="119">
        <v>4.3495800000000004</v>
      </c>
      <c r="E22" s="119">
        <v>4.3289</v>
      </c>
      <c r="F22" s="119">
        <v>4.3359500000000004</v>
      </c>
      <c r="G22" s="119">
        <v>4.3611599999999999</v>
      </c>
      <c r="H22" s="119">
        <v>4.3856299999999999</v>
      </c>
      <c r="I22" s="119">
        <v>4.4123400000000004</v>
      </c>
      <c r="J22" s="119">
        <v>4.4353899999999999</v>
      </c>
      <c r="K22" s="119">
        <v>4.4611499999999999</v>
      </c>
      <c r="L22" s="119">
        <v>4.4859299999999998</v>
      </c>
      <c r="M22" s="119">
        <v>4.51241</v>
      </c>
      <c r="N22" s="119">
        <v>4.53789</v>
      </c>
      <c r="O22" s="119">
        <v>4.5655999999999999</v>
      </c>
      <c r="P22" s="119">
        <v>4.5927500000000006</v>
      </c>
      <c r="Q22" s="119">
        <v>4.6183299999999994</v>
      </c>
      <c r="R22" s="119">
        <v>4.6442100000000002</v>
      </c>
      <c r="S22" s="119">
        <v>4.6704600000000003</v>
      </c>
      <c r="T22" s="119">
        <v>4.6978299999999997</v>
      </c>
      <c r="U22" s="119">
        <v>4.7249699999999999</v>
      </c>
      <c r="V22" s="119">
        <v>4.7517999999999994</v>
      </c>
      <c r="W22" s="119">
        <v>4.7787100000000002</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1" t="s">
        <v>33</v>
      </c>
      <c r="C23" s="44">
        <v>0</v>
      </c>
      <c r="D23" s="119">
        <v>0.97997999999999996</v>
      </c>
      <c r="E23" s="119">
        <v>0.98603000000000007</v>
      </c>
      <c r="F23" s="119">
        <v>0.98499000000000003</v>
      </c>
      <c r="G23" s="119">
        <v>0.99098999999999993</v>
      </c>
      <c r="H23" s="119">
        <v>1.00224</v>
      </c>
      <c r="I23" s="119">
        <v>1.0631599999999999</v>
      </c>
      <c r="J23" s="119">
        <v>1.0769300000000002</v>
      </c>
      <c r="K23" s="119">
        <v>1.09087</v>
      </c>
      <c r="L23" s="119">
        <v>1.1058600000000001</v>
      </c>
      <c r="M23" s="119">
        <v>1.12233</v>
      </c>
      <c r="N23" s="119">
        <v>1.1393599999999999</v>
      </c>
      <c r="O23" s="119">
        <v>1.15821</v>
      </c>
      <c r="P23" s="119">
        <v>1.1781200000000001</v>
      </c>
      <c r="Q23" s="119">
        <v>1.1993500000000001</v>
      </c>
      <c r="R23" s="119">
        <v>1.22031</v>
      </c>
      <c r="S23" s="119">
        <v>1.2409600000000001</v>
      </c>
      <c r="T23" s="119">
        <v>1.26187</v>
      </c>
      <c r="U23" s="119">
        <v>1.2835099999999999</v>
      </c>
      <c r="V23" s="119">
        <v>1.3071299999999999</v>
      </c>
      <c r="W23" s="119">
        <v>1.3303799999999999</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1" t="s">
        <v>34</v>
      </c>
      <c r="C24" s="44">
        <v>0</v>
      </c>
      <c r="D24" s="119">
        <v>3.0067599999999999</v>
      </c>
      <c r="E24" s="119">
        <v>3.0329899999999999</v>
      </c>
      <c r="F24" s="119">
        <v>3.02867</v>
      </c>
      <c r="G24" s="119">
        <v>3.0091300000000003</v>
      </c>
      <c r="H24" s="119">
        <v>3.0011999999999999</v>
      </c>
      <c r="I24" s="119">
        <v>2.9851900000000002</v>
      </c>
      <c r="J24" s="119">
        <v>2.9680999999999997</v>
      </c>
      <c r="K24" s="119">
        <v>2.94984</v>
      </c>
      <c r="L24" s="119">
        <v>2.93865</v>
      </c>
      <c r="M24" s="119">
        <v>2.9366500000000002</v>
      </c>
      <c r="N24" s="119">
        <v>2.9326600000000003</v>
      </c>
      <c r="O24" s="119">
        <v>2.92394</v>
      </c>
      <c r="P24" s="119">
        <v>2.90977</v>
      </c>
      <c r="Q24" s="119">
        <v>2.8871799999999999</v>
      </c>
      <c r="R24" s="119">
        <v>2.8560300000000001</v>
      </c>
      <c r="S24" s="119">
        <v>2.8171999999999997</v>
      </c>
      <c r="T24" s="119">
        <v>2.7753900000000002</v>
      </c>
      <c r="U24" s="119">
        <v>2.7341199999999999</v>
      </c>
      <c r="V24" s="119">
        <v>2.6981999999999999</v>
      </c>
      <c r="W24" s="119">
        <v>2.6695099999999998</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1" t="s">
        <v>35</v>
      </c>
      <c r="C25" s="44">
        <v>0</v>
      </c>
      <c r="D25" s="119">
        <v>0</v>
      </c>
      <c r="E25" s="119">
        <v>0</v>
      </c>
      <c r="F25" s="119">
        <v>0</v>
      </c>
      <c r="G25" s="119">
        <v>0</v>
      </c>
      <c r="H25" s="119">
        <v>0</v>
      </c>
      <c r="I25" s="119">
        <v>0</v>
      </c>
      <c r="J25" s="119">
        <v>0</v>
      </c>
      <c r="K25" s="119">
        <v>0</v>
      </c>
      <c r="L25" s="119">
        <v>0</v>
      </c>
      <c r="M25" s="119">
        <v>0</v>
      </c>
      <c r="N25" s="119">
        <v>0</v>
      </c>
      <c r="O25" s="119">
        <v>0</v>
      </c>
      <c r="P25" s="119">
        <v>0</v>
      </c>
      <c r="Q25" s="119">
        <v>0</v>
      </c>
      <c r="R25" s="119">
        <v>0</v>
      </c>
      <c r="S25" s="119">
        <v>0</v>
      </c>
      <c r="T25" s="119">
        <v>0</v>
      </c>
      <c r="U25" s="119">
        <v>0</v>
      </c>
      <c r="V25" s="119">
        <v>0</v>
      </c>
      <c r="W25" s="119">
        <v>0</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0" t="s">
        <v>36</v>
      </c>
      <c r="C26" s="44">
        <v>0.36009390000000002</v>
      </c>
      <c r="D26" s="119">
        <v>0.39655800000000002</v>
      </c>
      <c r="E26" s="119">
        <v>0.71944660000000005</v>
      </c>
      <c r="F26" s="119">
        <v>0.71352550000000003</v>
      </c>
      <c r="G26" s="119">
        <v>0.70760429999999996</v>
      </c>
      <c r="H26" s="119">
        <v>0.70168319999999995</v>
      </c>
      <c r="I26" s="119">
        <v>0.69576210000000005</v>
      </c>
      <c r="J26" s="119">
        <v>0.68984100000000004</v>
      </c>
      <c r="K26" s="119">
        <v>0.68391979999999997</v>
      </c>
      <c r="L26" s="119">
        <v>0.67799869999999995</v>
      </c>
      <c r="M26" s="119">
        <v>0.67207760000000005</v>
      </c>
      <c r="N26" s="119">
        <v>0.66615650000000004</v>
      </c>
      <c r="O26" s="119">
        <v>0.66023529999999997</v>
      </c>
      <c r="P26" s="119">
        <v>0.65431419999999996</v>
      </c>
      <c r="Q26" s="119">
        <v>0.64839310000000006</v>
      </c>
      <c r="R26" s="119">
        <v>0.64247200000000004</v>
      </c>
      <c r="S26" s="119">
        <v>0.63655079999999997</v>
      </c>
      <c r="T26" s="119">
        <v>0.63062969999999996</v>
      </c>
      <c r="U26" s="119">
        <v>0.62470870000000001</v>
      </c>
      <c r="V26" s="119">
        <v>0.61878750000000005</v>
      </c>
      <c r="W26" s="119">
        <v>0.61286640000000003</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3" customFormat="1" x14ac:dyDescent="0.2">
      <c r="A28" s="122"/>
      <c r="B28" s="114" t="s">
        <v>212</v>
      </c>
      <c r="C28" s="122"/>
      <c r="D28" s="122"/>
      <c r="E28" s="122"/>
      <c r="F28" s="122"/>
      <c r="G28" s="122"/>
      <c r="H28" s="122"/>
      <c r="I28" s="122"/>
      <c r="J28" s="122"/>
      <c r="K28" s="122"/>
      <c r="L28" s="122"/>
      <c r="M28" s="122"/>
      <c r="N28" s="122"/>
      <c r="O28" s="122"/>
    </row>
    <row r="29" spans="1:54" x14ac:dyDescent="0.2">
      <c r="A29" s="45"/>
      <c r="B29" s="116" t="s">
        <v>37</v>
      </c>
      <c r="C29" s="45"/>
      <c r="D29" s="45"/>
      <c r="E29" s="45"/>
      <c r="F29" s="45"/>
      <c r="G29" s="333"/>
      <c r="H29" s="333"/>
      <c r="I29" s="333"/>
      <c r="J29" s="333"/>
      <c r="K29" s="333"/>
      <c r="L29" s="333"/>
      <c r="M29" s="333"/>
      <c r="N29" s="333"/>
      <c r="O29" s="333"/>
      <c r="P29" s="333"/>
      <c r="Q29" s="333"/>
      <c r="R29" s="333"/>
      <c r="S29" s="333"/>
      <c r="T29" s="333"/>
      <c r="U29" s="333"/>
      <c r="V29" s="333"/>
      <c r="W29" s="333"/>
    </row>
    <row r="30" spans="1:54" x14ac:dyDescent="0.2">
      <c r="A30" s="45"/>
      <c r="B30" s="45" t="s">
        <v>38</v>
      </c>
      <c r="C30" s="123">
        <v>6.3800220000000003</v>
      </c>
      <c r="D30" s="124">
        <v>2.537525</v>
      </c>
      <c r="E30" s="124">
        <v>0.34227229999999997</v>
      </c>
      <c r="F30" s="124">
        <v>2.167764</v>
      </c>
      <c r="G30" s="124">
        <v>2.6980230000000001</v>
      </c>
      <c r="H30" s="124">
        <v>2.8091689999999998</v>
      </c>
      <c r="I30" s="124">
        <v>2.6065499999999999</v>
      </c>
      <c r="J30" s="124">
        <v>2.2675809999999998</v>
      </c>
      <c r="K30" s="124">
        <v>2.25936</v>
      </c>
      <c r="L30" s="124">
        <v>1.680188</v>
      </c>
      <c r="M30" s="124">
        <v>1.625748</v>
      </c>
      <c r="N30" s="124">
        <v>1.5743450000000001</v>
      </c>
      <c r="O30" s="124">
        <v>1.5709090000000001</v>
      </c>
      <c r="P30" s="124">
        <v>1.62144</v>
      </c>
      <c r="Q30" s="125">
        <v>1.564576</v>
      </c>
      <c r="R30" s="125">
        <v>1.507714</v>
      </c>
      <c r="S30" s="125">
        <v>1.4508490000000001</v>
      </c>
      <c r="T30" s="125">
        <v>1.3712059999999999</v>
      </c>
      <c r="U30" s="125">
        <v>1.278017</v>
      </c>
      <c r="V30" s="125">
        <v>1.16737</v>
      </c>
      <c r="W30" s="125">
        <v>1.095977</v>
      </c>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row>
    <row r="31" spans="1:54" x14ac:dyDescent="0.2">
      <c r="A31" s="45"/>
      <c r="B31" s="270" t="s">
        <v>144</v>
      </c>
      <c r="C31" s="123">
        <v>42.795000000000002</v>
      </c>
      <c r="D31" s="333"/>
      <c r="E31" s="333"/>
      <c r="F31" s="333"/>
      <c r="G31" s="333"/>
      <c r="H31" s="333"/>
      <c r="I31" s="333"/>
      <c r="J31" s="333"/>
      <c r="K31" s="333"/>
      <c r="L31" s="333"/>
      <c r="M31" s="333"/>
      <c r="N31" s="333"/>
      <c r="O31" s="333"/>
      <c r="P31" s="333"/>
      <c r="Q31" s="333"/>
      <c r="R31" s="333"/>
      <c r="S31" s="333"/>
      <c r="T31" s="333"/>
      <c r="U31" s="333"/>
      <c r="V31" s="333"/>
      <c r="W31" s="333"/>
    </row>
    <row r="32" spans="1:54" x14ac:dyDescent="0.2">
      <c r="A32" s="45"/>
      <c r="B32" s="116"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3">
        <v>4.1315460000000002</v>
      </c>
      <c r="D33" s="124">
        <v>3.6158260000000002</v>
      </c>
      <c r="E33" s="124">
        <v>3.3423690000000001</v>
      </c>
      <c r="F33" s="124">
        <v>2.365812</v>
      </c>
      <c r="G33" s="124">
        <v>2.5020129999999998</v>
      </c>
      <c r="H33" s="124">
        <v>2.1233399999999998</v>
      </c>
      <c r="I33" s="124">
        <v>2.131894</v>
      </c>
      <c r="J33" s="124">
        <v>1.7966740000000001</v>
      </c>
      <c r="K33" s="124">
        <v>1.790643</v>
      </c>
      <c r="L33" s="124">
        <v>1.6801889999999999</v>
      </c>
      <c r="M33" s="124">
        <v>1.6257509999999999</v>
      </c>
      <c r="N33" s="124">
        <v>1.574344</v>
      </c>
      <c r="O33" s="124">
        <v>1.5709059999999999</v>
      </c>
      <c r="P33" s="124">
        <v>1.6214409999999999</v>
      </c>
      <c r="Q33" s="125">
        <v>1.5645770000000001</v>
      </c>
      <c r="R33" s="125">
        <v>1.507714</v>
      </c>
      <c r="S33" s="125">
        <v>1.45085</v>
      </c>
      <c r="T33" s="125">
        <v>1.3712040000000001</v>
      </c>
      <c r="U33" s="125">
        <v>1.2780199999999999</v>
      </c>
      <c r="V33" s="125">
        <v>1.16737</v>
      </c>
      <c r="W33" s="125">
        <v>1.095977</v>
      </c>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row>
    <row r="34" spans="1:54" x14ac:dyDescent="0.2">
      <c r="A34" s="45"/>
      <c r="B34" s="270" t="s">
        <v>144</v>
      </c>
      <c r="C34" s="123">
        <v>41.97242</v>
      </c>
      <c r="D34" s="333"/>
      <c r="E34" s="333"/>
      <c r="F34" s="333"/>
      <c r="G34" s="333"/>
      <c r="H34" s="333"/>
      <c r="I34" s="333"/>
      <c r="J34" s="333"/>
      <c r="K34" s="333"/>
      <c r="L34" s="333"/>
      <c r="M34" s="333"/>
      <c r="N34" s="333"/>
      <c r="O34" s="333"/>
      <c r="P34" s="333"/>
      <c r="Q34" s="333"/>
      <c r="R34" s="333"/>
      <c r="S34" s="333"/>
      <c r="T34" s="333"/>
      <c r="U34" s="333"/>
      <c r="V34" s="333"/>
      <c r="W34" s="333"/>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70"/>
      <c r="C35" s="333"/>
      <c r="D35" s="333"/>
      <c r="E35" s="333"/>
      <c r="F35" s="333"/>
      <c r="G35" s="333"/>
      <c r="H35" s="333"/>
      <c r="I35" s="333"/>
      <c r="J35" s="333"/>
      <c r="K35" s="333"/>
      <c r="L35" s="333"/>
      <c r="M35" s="333"/>
      <c r="N35" s="333"/>
      <c r="O35" s="333"/>
      <c r="P35" s="333"/>
      <c r="Q35" s="333"/>
      <c r="R35" s="333"/>
      <c r="S35" s="333"/>
      <c r="T35" s="333"/>
      <c r="U35" s="333"/>
      <c r="V35" s="333"/>
      <c r="W35" s="333"/>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3" customFormat="1" x14ac:dyDescent="0.2">
      <c r="A36" s="122"/>
      <c r="B36" s="114" t="s">
        <v>213</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row>
    <row r="37" spans="1:54" x14ac:dyDescent="0.2">
      <c r="A37" s="45"/>
      <c r="B37" s="45" t="s">
        <v>41</v>
      </c>
      <c r="C37" s="44">
        <v>1.1161000000000001</v>
      </c>
      <c r="D37" s="118">
        <v>0.91907830000000001</v>
      </c>
      <c r="E37" s="118">
        <v>1.699492</v>
      </c>
      <c r="F37" s="118">
        <v>2.2164999999999999</v>
      </c>
      <c r="G37" s="118">
        <v>2.5547230000000001</v>
      </c>
      <c r="H37" s="118">
        <v>2.893256</v>
      </c>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0" t="s">
        <v>42</v>
      </c>
      <c r="D38" s="118">
        <v>0.35</v>
      </c>
      <c r="E38" s="118">
        <v>3.43</v>
      </c>
      <c r="F38" s="260">
        <v>3.5292500000000002</v>
      </c>
      <c r="G38" s="328">
        <v>2.0662500000000001</v>
      </c>
      <c r="H38" s="261">
        <v>1.9957499999999999</v>
      </c>
    </row>
    <row r="39" spans="1:54" x14ac:dyDescent="0.2">
      <c r="A39" s="45"/>
      <c r="B39" s="120" t="s">
        <v>43</v>
      </c>
      <c r="D39" s="118">
        <v>0.61</v>
      </c>
      <c r="E39" s="118">
        <v>2.88</v>
      </c>
      <c r="F39" s="262">
        <v>3.4270849999999999</v>
      </c>
      <c r="G39" s="329">
        <v>3.0076990000000001</v>
      </c>
      <c r="H39" s="263">
        <v>3.1136879999999998</v>
      </c>
    </row>
    <row r="40" spans="1:54" x14ac:dyDescent="0.2">
      <c r="A40" s="45"/>
      <c r="B40" s="121"/>
      <c r="C40" s="44"/>
      <c r="D40" s="44"/>
      <c r="E40" s="126"/>
      <c r="F40" s="259" t="s">
        <v>49</v>
      </c>
      <c r="G40" s="126"/>
      <c r="H40" s="126"/>
      <c r="I40" s="126"/>
      <c r="J40" s="126"/>
      <c r="K40" s="126"/>
      <c r="L40" s="126"/>
      <c r="M40" s="126"/>
      <c r="N40" s="126"/>
      <c r="O40" s="126"/>
      <c r="P40" s="126"/>
      <c r="Q40" s="126"/>
      <c r="R40" s="126"/>
      <c r="S40" s="126"/>
      <c r="T40" s="126"/>
      <c r="U40" s="126"/>
      <c r="V40" s="126"/>
      <c r="W40" s="126"/>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3" customFormat="1" x14ac:dyDescent="0.2">
      <c r="A41" s="122"/>
      <c r="B41" s="127" t="s">
        <v>214</v>
      </c>
      <c r="C41" s="128"/>
      <c r="D41" s="128"/>
      <c r="E41" s="128"/>
      <c r="F41" s="128"/>
      <c r="G41" s="129"/>
      <c r="H41" s="129"/>
      <c r="I41" s="129"/>
      <c r="J41" s="129"/>
      <c r="K41" s="129"/>
      <c r="L41" s="129"/>
      <c r="M41" s="129"/>
      <c r="N41" s="129"/>
      <c r="O41" s="129"/>
      <c r="P41" s="129"/>
      <c r="Q41" s="129"/>
      <c r="R41" s="129"/>
      <c r="S41" s="129"/>
      <c r="T41" s="129"/>
      <c r="U41" s="129"/>
      <c r="V41" s="129"/>
      <c r="W41" s="129"/>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row>
    <row r="42" spans="1:54" x14ac:dyDescent="0.2">
      <c r="A42" s="45"/>
      <c r="B42" s="45" t="s">
        <v>44</v>
      </c>
      <c r="C42" s="44">
        <v>5.9997530000000001</v>
      </c>
      <c r="D42" s="118">
        <v>16.066549999999999</v>
      </c>
      <c r="E42" s="118">
        <v>9.0217489999999998</v>
      </c>
      <c r="F42" s="118">
        <v>3.6147499999999999</v>
      </c>
      <c r="G42" s="118">
        <v>3.4727869999999998</v>
      </c>
      <c r="H42" s="118">
        <v>2.2027230000000002</v>
      </c>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3" customFormat="1" x14ac:dyDescent="0.2">
      <c r="A44" s="122"/>
      <c r="B44" s="127" t="s">
        <v>215</v>
      </c>
      <c r="C44" s="128"/>
      <c r="D44" s="128"/>
      <c r="E44" s="128"/>
      <c r="F44" s="128"/>
      <c r="G44" s="129"/>
      <c r="H44" s="129"/>
      <c r="I44" s="129"/>
      <c r="J44" s="129"/>
      <c r="K44" s="129"/>
      <c r="L44" s="129"/>
      <c r="M44" s="129"/>
      <c r="N44" s="129"/>
      <c r="O44" s="129"/>
      <c r="P44" s="129"/>
      <c r="Q44" s="129"/>
      <c r="R44" s="129"/>
      <c r="S44" s="129"/>
      <c r="T44" s="129"/>
      <c r="U44" s="129"/>
      <c r="V44" s="129"/>
      <c r="W44" s="129"/>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row>
    <row r="45" spans="1:54" x14ac:dyDescent="0.2">
      <c r="A45" s="45"/>
      <c r="B45" s="45" t="s">
        <v>15</v>
      </c>
      <c r="C45" s="44">
        <v>0</v>
      </c>
      <c r="D45" s="118">
        <v>18.105102814039316</v>
      </c>
      <c r="E45" s="118">
        <v>12.078211293552688</v>
      </c>
      <c r="F45" s="118">
        <v>10.458084915574926</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09" customFormat="1" x14ac:dyDescent="0.2">
      <c r="A47" s="111"/>
      <c r="B47" s="110" t="s">
        <v>45</v>
      </c>
      <c r="C47" s="130"/>
      <c r="D47" s="130"/>
    </row>
    <row r="48" spans="1:54" x14ac:dyDescent="0.2">
      <c r="A48" s="45"/>
      <c r="B48" s="131"/>
      <c r="C48" s="44"/>
      <c r="D48" s="44"/>
      <c r="E48" s="271" t="s">
        <v>129</v>
      </c>
    </row>
    <row r="49" spans="1:5" x14ac:dyDescent="0.2">
      <c r="A49" s="45"/>
      <c r="B49" s="45" t="s">
        <v>46</v>
      </c>
      <c r="C49" s="48">
        <v>0.75</v>
      </c>
      <c r="D49" s="44"/>
      <c r="E49" s="45" t="s">
        <v>47</v>
      </c>
    </row>
    <row r="50" spans="1:5" x14ac:dyDescent="0.2">
      <c r="A50" s="45"/>
      <c r="B50" s="45" t="s">
        <v>182</v>
      </c>
      <c r="C50" s="48">
        <v>0.39900000000000002</v>
      </c>
      <c r="D50" s="44"/>
      <c r="E50" s="45" t="s">
        <v>48</v>
      </c>
    </row>
    <row r="51" spans="1:5" x14ac:dyDescent="0.2">
      <c r="A51" s="45"/>
      <c r="B51" s="45"/>
      <c r="C51" s="44"/>
      <c r="D51" s="44"/>
    </row>
    <row r="52" spans="1:5" x14ac:dyDescent="0.2">
      <c r="A52" s="45"/>
      <c r="B52" s="120" t="s">
        <v>173</v>
      </c>
      <c r="C52" s="132">
        <v>3.89506</v>
      </c>
      <c r="D52" s="44"/>
      <c r="E52" s="45" t="s">
        <v>49</v>
      </c>
    </row>
    <row r="53" spans="1:5" x14ac:dyDescent="0.2">
      <c r="A53" s="45"/>
      <c r="B53" s="120" t="s">
        <v>174</v>
      </c>
      <c r="C53" s="132">
        <v>2.6640299999999999</v>
      </c>
      <c r="D53" s="44"/>
      <c r="E53" s="45" t="s">
        <v>49</v>
      </c>
    </row>
    <row r="54" spans="1:5" x14ac:dyDescent="0.2">
      <c r="A54" s="45"/>
      <c r="B54" s="120" t="s">
        <v>175</v>
      </c>
      <c r="C54" s="118">
        <v>4</v>
      </c>
      <c r="D54" s="44"/>
      <c r="E54" s="45" t="s">
        <v>50</v>
      </c>
    </row>
    <row r="55" spans="1:5" x14ac:dyDescent="0.2">
      <c r="A55" s="45"/>
      <c r="B55" s="120" t="s">
        <v>176</v>
      </c>
      <c r="C55" s="118">
        <v>2</v>
      </c>
      <c r="D55" s="44"/>
      <c r="E55" s="45" t="s">
        <v>50</v>
      </c>
    </row>
    <row r="56" spans="1:5" x14ac:dyDescent="0.2">
      <c r="A56" s="45"/>
      <c r="B56" s="120"/>
      <c r="C56" s="44"/>
      <c r="D56" s="44"/>
    </row>
    <row r="57" spans="1:5" x14ac:dyDescent="0.2">
      <c r="A57" s="45"/>
      <c r="B57" s="45" t="s">
        <v>51</v>
      </c>
      <c r="C57" s="43">
        <v>2.8329000000000002E-3</v>
      </c>
      <c r="D57" s="146"/>
      <c r="E57" s="270" t="s">
        <v>130</v>
      </c>
    </row>
    <row r="58" spans="1:5" x14ac:dyDescent="0.2">
      <c r="A58" s="45"/>
      <c r="B58" s="45" t="s">
        <v>52</v>
      </c>
      <c r="C58" s="25">
        <f>1-C57</f>
        <v>0.99716709999999997</v>
      </c>
      <c r="E58" s="270" t="s">
        <v>130</v>
      </c>
    </row>
    <row r="59" spans="1:5" x14ac:dyDescent="0.2">
      <c r="A59" s="45"/>
      <c r="B59" s="45" t="s">
        <v>177</v>
      </c>
      <c r="C59" s="43">
        <v>8.6066370000000003E-2</v>
      </c>
      <c r="E59" s="270" t="s">
        <v>131</v>
      </c>
    </row>
    <row r="60" spans="1:5" x14ac:dyDescent="0.2">
      <c r="A60" s="45"/>
      <c r="B60" s="45"/>
      <c r="C60" s="123"/>
    </row>
    <row r="61" spans="1:5" x14ac:dyDescent="0.2">
      <c r="A61" s="45"/>
      <c r="B61" s="45" t="s">
        <v>178</v>
      </c>
      <c r="C61" s="133">
        <v>2.35</v>
      </c>
      <c r="E61" s="45" t="s">
        <v>53</v>
      </c>
    </row>
    <row r="62" spans="1:5" x14ac:dyDescent="0.2">
      <c r="A62" s="45"/>
      <c r="B62" s="45" t="s">
        <v>179</v>
      </c>
      <c r="C62" s="123">
        <v>2</v>
      </c>
      <c r="E62" s="45" t="s">
        <v>54</v>
      </c>
    </row>
    <row r="63" spans="1:5" x14ac:dyDescent="0.2">
      <c r="A63" s="45"/>
      <c r="B63" s="45"/>
      <c r="C63" s="123"/>
      <c r="E63" s="45"/>
    </row>
    <row r="64" spans="1:5" x14ac:dyDescent="0.2">
      <c r="A64" s="45"/>
      <c r="B64" s="45" t="s">
        <v>172</v>
      </c>
      <c r="C64" s="118">
        <v>38.822477231901452</v>
      </c>
      <c r="E64" s="45" t="s">
        <v>203</v>
      </c>
    </row>
    <row r="65" spans="1:7" x14ac:dyDescent="0.2">
      <c r="A65" s="45"/>
      <c r="B65" s="45"/>
      <c r="C65" s="123"/>
      <c r="E65" s="45"/>
    </row>
    <row r="66" spans="1:7" x14ac:dyDescent="0.2">
      <c r="A66" s="45"/>
      <c r="B66" s="45" t="s">
        <v>204</v>
      </c>
      <c r="C66" s="327">
        <v>0.868947834911862</v>
      </c>
      <c r="D66" s="1"/>
      <c r="E66" s="45" t="s">
        <v>55</v>
      </c>
    </row>
    <row r="67" spans="1:7" x14ac:dyDescent="0.2">
      <c r="A67" s="45"/>
      <c r="B67" s="269" t="s">
        <v>205</v>
      </c>
      <c r="C67" s="327">
        <v>6.2632755744425617E-2</v>
      </c>
      <c r="D67" s="1"/>
      <c r="E67" s="45" t="s">
        <v>55</v>
      </c>
    </row>
    <row r="68" spans="1:7" x14ac:dyDescent="0.2">
      <c r="A68" s="45"/>
      <c r="B68" s="269" t="s">
        <v>206</v>
      </c>
      <c r="C68" s="327">
        <v>0</v>
      </c>
      <c r="D68" s="1"/>
      <c r="E68" s="45" t="s">
        <v>55</v>
      </c>
    </row>
    <row r="69" spans="1:7" x14ac:dyDescent="0.2">
      <c r="A69" s="45"/>
      <c r="B69" s="120" t="s">
        <v>207</v>
      </c>
      <c r="C69" s="327">
        <v>6.8419436121130328E-2</v>
      </c>
      <c r="D69" s="1"/>
      <c r="E69" s="45" t="s">
        <v>55</v>
      </c>
    </row>
    <row r="70" spans="1:7" x14ac:dyDescent="0.2">
      <c r="A70" s="45"/>
      <c r="B70" s="120" t="s">
        <v>208</v>
      </c>
      <c r="C70" s="327">
        <v>0</v>
      </c>
      <c r="D70" s="1"/>
      <c r="E70" s="45" t="s">
        <v>55</v>
      </c>
    </row>
    <row r="71" spans="1:7" x14ac:dyDescent="0.2">
      <c r="A71" s="45"/>
      <c r="B71" s="120"/>
      <c r="C71" s="44"/>
      <c r="E71" s="45"/>
    </row>
    <row r="72" spans="1:7" s="109" customFormat="1" x14ac:dyDescent="0.2">
      <c r="B72" s="110"/>
      <c r="C72" s="130"/>
      <c r="D72" s="130"/>
    </row>
    <row r="73" spans="1:7" x14ac:dyDescent="0.2">
      <c r="B73" s="134"/>
      <c r="C73" s="135"/>
      <c r="D73" s="135"/>
      <c r="E73" s="136"/>
      <c r="F73" s="136"/>
      <c r="G73" s="136"/>
    </row>
    <row r="74" spans="1:7" x14ac:dyDescent="0.2">
      <c r="A74" s="45"/>
      <c r="B74" s="270"/>
      <c r="C74" s="23"/>
      <c r="D74" s="23"/>
      <c r="E74" s="23"/>
      <c r="F74" s="23"/>
      <c r="G74" s="23"/>
    </row>
    <row r="75" spans="1:7" x14ac:dyDescent="0.2">
      <c r="A75" s="45"/>
      <c r="B75" s="270"/>
      <c r="C75" s="23"/>
      <c r="D75" s="23"/>
      <c r="E75" s="23"/>
      <c r="F75" s="23"/>
      <c r="G75" s="23"/>
    </row>
    <row r="76" spans="1:7" x14ac:dyDescent="0.2">
      <c r="A76" s="45"/>
      <c r="B76" s="270"/>
      <c r="C76" s="23"/>
      <c r="D76" s="23"/>
      <c r="E76" s="23"/>
      <c r="F76" s="23"/>
      <c r="G76" s="23"/>
    </row>
    <row r="77" spans="1:7" x14ac:dyDescent="0.2">
      <c r="A77" s="45"/>
      <c r="B77" s="270"/>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LT</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-1.471627</v>
      </c>
      <c r="D12" s="1">
        <f>'Input data'!D13</f>
        <v>-0.89109400000000005</v>
      </c>
      <c r="E12" s="2">
        <f>'Input data'!E13</f>
        <v>0.7080978</v>
      </c>
      <c r="F12" s="2">
        <f>'Input data'!F13</f>
        <v>-0.36979909999999999</v>
      </c>
      <c r="G12" s="1">
        <f>F12</f>
        <v>-0.36979909999999999</v>
      </c>
      <c r="H12" s="1">
        <f t="shared" ref="H12:W12" si="0">G12</f>
        <v>-0.36979909999999999</v>
      </c>
      <c r="I12" s="1">
        <f t="shared" si="0"/>
        <v>-0.36979909999999999</v>
      </c>
      <c r="J12" s="1">
        <f t="shared" si="0"/>
        <v>-0.36979909999999999</v>
      </c>
      <c r="K12" s="1">
        <f t="shared" si="0"/>
        <v>-0.36979909999999999</v>
      </c>
      <c r="L12" s="1">
        <f t="shared" si="0"/>
        <v>-0.36979909999999999</v>
      </c>
      <c r="M12" s="1">
        <f t="shared" si="0"/>
        <v>-0.36979909999999999</v>
      </c>
      <c r="N12" s="1">
        <f t="shared" si="0"/>
        <v>-0.36979909999999999</v>
      </c>
      <c r="O12" s="1">
        <f t="shared" si="0"/>
        <v>-0.36979909999999999</v>
      </c>
      <c r="P12" s="1">
        <f t="shared" si="0"/>
        <v>-0.36979909999999999</v>
      </c>
      <c r="Q12" s="1">
        <f t="shared" si="0"/>
        <v>-0.36979909999999999</v>
      </c>
      <c r="R12" s="1">
        <f t="shared" si="0"/>
        <v>-0.36979909999999999</v>
      </c>
      <c r="S12" s="1">
        <f t="shared" si="0"/>
        <v>-0.36979909999999999</v>
      </c>
      <c r="T12" s="1">
        <f t="shared" si="0"/>
        <v>-0.36979909999999999</v>
      </c>
      <c r="U12" s="1">
        <f t="shared" si="0"/>
        <v>-0.36979909999999999</v>
      </c>
      <c r="V12" s="1">
        <f t="shared" si="0"/>
        <v>-0.36979909999999999</v>
      </c>
      <c r="W12" s="1">
        <f t="shared" si="0"/>
        <v>-0.36979909999999999</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9.8800999999999993E-3</v>
      </c>
      <c r="D13" s="1">
        <f>'Input data'!D14</f>
        <v>0.1602539</v>
      </c>
      <c r="E13" s="2">
        <f>'Input data'!E14</f>
        <v>3.2523000000000001E-3</v>
      </c>
      <c r="F13" s="2">
        <f>'Input data'!F14</f>
        <v>2.5601999999999999E-3</v>
      </c>
      <c r="G13" s="2">
        <f>'Input data'!G14</f>
        <v>1.5619E-3</v>
      </c>
      <c r="H13" s="2">
        <f>'Input data'!H14</f>
        <v>3.3098299999999997E-2</v>
      </c>
      <c r="I13" s="2">
        <f>'Input data'!I14</f>
        <v>0</v>
      </c>
      <c r="J13" s="2">
        <f>'Input data'!J14</f>
        <v>0</v>
      </c>
      <c r="K13" s="2">
        <f>'Input data'!K14</f>
        <v>0</v>
      </c>
      <c r="L13" s="2">
        <f>'Input data'!L14</f>
        <v>0</v>
      </c>
      <c r="M13" s="2">
        <f>'Input data'!M14</f>
        <v>0</v>
      </c>
      <c r="N13" s="2">
        <f>'Input data'!N14</f>
        <v>0</v>
      </c>
      <c r="O13" s="2">
        <f>'Input data'!O14</f>
        <v>0</v>
      </c>
      <c r="P13" s="2">
        <f>'Input data'!P14</f>
        <v>0</v>
      </c>
      <c r="Q13" s="2">
        <f>'Input data'!Q14</f>
        <v>0</v>
      </c>
      <c r="R13" s="2">
        <f>'Input data'!R14</f>
        <v>0</v>
      </c>
      <c r="S13" s="2">
        <f>'Input data'!S14</f>
        <v>0</v>
      </c>
      <c r="T13" s="2">
        <f>'Input data'!T14</f>
        <v>0</v>
      </c>
      <c r="U13" s="2">
        <f>'Input data'!U14</f>
        <v>0</v>
      </c>
      <c r="V13" s="2">
        <f>'Input data'!V14</f>
        <v>0</v>
      </c>
      <c r="W13" s="2">
        <f>'Input data'!W14</f>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56</v>
      </c>
      <c r="C14" s="1">
        <f>'Input data'!C15</f>
        <v>1.4649000000000001</v>
      </c>
      <c r="D14" s="1">
        <f>'Input data'!D15</f>
        <v>0.97889720000000002</v>
      </c>
      <c r="E14" s="2">
        <f>'Input data'!E15</f>
        <v>1.865075</v>
      </c>
      <c r="F14" s="2">
        <f>'Input data'!F15</f>
        <v>0.94640000000000002</v>
      </c>
      <c r="G14" s="2">
        <f>'Input data'!G15</f>
        <v>2.7175029999999998</v>
      </c>
      <c r="H14" s="2">
        <f>'Input data'!H15</f>
        <v>3.073</v>
      </c>
      <c r="I14" s="2">
        <f>'Input data'!I15</f>
        <v>0</v>
      </c>
      <c r="J14" s="2">
        <f>'Input data'!J15</f>
        <v>0</v>
      </c>
      <c r="K14" s="2">
        <f>'Input data'!K15</f>
        <v>0</v>
      </c>
      <c r="L14" s="2">
        <f>'Input data'!L15</f>
        <v>0</v>
      </c>
      <c r="M14" s="2">
        <f>'Input data'!M15</f>
        <v>0</v>
      </c>
      <c r="N14" s="2">
        <f>'Input data'!N15</f>
        <v>0</v>
      </c>
      <c r="O14" s="2">
        <f>'Input data'!O15</f>
        <v>0</v>
      </c>
      <c r="P14" s="2">
        <f>'Input data'!P15</f>
        <v>0</v>
      </c>
      <c r="Q14" s="2">
        <f>'Input data'!Q15</f>
        <v>0</v>
      </c>
      <c r="R14" s="2">
        <f>'Input data'!R15</f>
        <v>0</v>
      </c>
      <c r="S14" s="2">
        <f>'Input data'!S15</f>
        <v>0</v>
      </c>
      <c r="T14" s="2">
        <f>'Input data'!T15</f>
        <v>0</v>
      </c>
      <c r="U14" s="2">
        <f>'Input data'!U15</f>
        <v>0</v>
      </c>
      <c r="V14" s="2">
        <f>'Input data'!V15</f>
        <v>0</v>
      </c>
      <c r="W14" s="2">
        <f>'Input data'!W15</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14.76225</v>
      </c>
      <c r="E17" s="78">
        <f>'Input data'!E20</f>
        <v>15.0023</v>
      </c>
      <c r="F17" s="78">
        <f>'Input data'!F20</f>
        <v>15.355459999999999</v>
      </c>
      <c r="G17" s="78">
        <f>'Input data'!G20</f>
        <v>15.69932</v>
      </c>
      <c r="H17" s="78">
        <f>'Input data'!H20</f>
        <v>15.968810000000001</v>
      </c>
      <c r="I17" s="78">
        <f>'Input data'!I20</f>
        <v>16.088950000000001</v>
      </c>
      <c r="J17" s="78">
        <f>'Input data'!J20</f>
        <v>16.263380000000002</v>
      </c>
      <c r="K17" s="78">
        <f>'Input data'!K20</f>
        <v>16.436700000000002</v>
      </c>
      <c r="L17" s="78">
        <f>'Input data'!L20</f>
        <v>16.614419999999999</v>
      </c>
      <c r="M17" s="78">
        <f>'Input data'!M20</f>
        <v>16.799599999999998</v>
      </c>
      <c r="N17" s="78">
        <f>'Input data'!N20</f>
        <v>16.989449999999998</v>
      </c>
      <c r="O17" s="78">
        <f>'Input data'!O20</f>
        <v>17.176099999999998</v>
      </c>
      <c r="P17" s="78">
        <f>'Input data'!P20</f>
        <v>17.335729999999998</v>
      </c>
      <c r="Q17" s="78">
        <f>'Input data'!Q20</f>
        <v>17.498619999999999</v>
      </c>
      <c r="R17" s="78">
        <f>'Input data'!R20</f>
        <v>17.639989999999997</v>
      </c>
      <c r="S17" s="78">
        <f>'Input data'!S20</f>
        <v>17.741549999999997</v>
      </c>
      <c r="T17" s="78">
        <f>'Input data'!T20</f>
        <v>17.8386</v>
      </c>
      <c r="U17" s="78">
        <f>'Input data'!U20</f>
        <v>17.935040000000001</v>
      </c>
      <c r="V17" s="78">
        <f>'Input data'!V20</f>
        <v>18.015550000000001</v>
      </c>
      <c r="W17" s="78">
        <f>'Input data'!W20</f>
        <v>18.110669999999999</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0.36009390000000002</v>
      </c>
      <c r="D18" s="1">
        <f>'Input data'!D26</f>
        <v>0.39655800000000002</v>
      </c>
      <c r="E18" s="78">
        <f>'Input data'!E26</f>
        <v>0.71944660000000005</v>
      </c>
      <c r="F18" s="78">
        <f>'Input data'!F26</f>
        <v>0.71352550000000003</v>
      </c>
      <c r="G18" s="78">
        <f>'Input data'!G26</f>
        <v>0.70760429999999996</v>
      </c>
      <c r="H18" s="78">
        <f>'Input data'!H26</f>
        <v>0.70168319999999995</v>
      </c>
      <c r="I18" s="78">
        <f>'Input data'!I26</f>
        <v>0.69576210000000005</v>
      </c>
      <c r="J18" s="78">
        <f>'Input data'!J26</f>
        <v>0.68984100000000004</v>
      </c>
      <c r="K18" s="78">
        <f>'Input data'!K26</f>
        <v>0.68391979999999997</v>
      </c>
      <c r="L18" s="78">
        <f>'Input data'!L26</f>
        <v>0.67799869999999995</v>
      </c>
      <c r="M18" s="78">
        <f>'Input data'!M26</f>
        <v>0.67207760000000005</v>
      </c>
      <c r="N18" s="78">
        <f>'Input data'!N26</f>
        <v>0.66615650000000004</v>
      </c>
      <c r="O18" s="78">
        <f>'Input data'!O26</f>
        <v>0.66023529999999997</v>
      </c>
      <c r="P18" s="78">
        <f>'Input data'!P26</f>
        <v>0.65431419999999996</v>
      </c>
      <c r="Q18" s="78">
        <f>'Input data'!Q26</f>
        <v>0.64839310000000006</v>
      </c>
      <c r="R18" s="78">
        <f>'Input data'!R26</f>
        <v>0.64247200000000004</v>
      </c>
      <c r="S18" s="78">
        <f>'Input data'!S26</f>
        <v>0.63655079999999997</v>
      </c>
      <c r="T18" s="78">
        <f>'Input data'!T26</f>
        <v>0.63062969999999996</v>
      </c>
      <c r="U18" s="78">
        <f>'Input data'!U26</f>
        <v>0.62470870000000001</v>
      </c>
      <c r="V18" s="78">
        <f>'Input data'!V26</f>
        <v>0.61878750000000005</v>
      </c>
      <c r="W18" s="78">
        <f>'Input data'!W26</f>
        <v>0.61286640000000003</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57</v>
      </c>
    </row>
    <row r="21" spans="1:50" ht="10.5" customHeight="1" x14ac:dyDescent="0.2">
      <c r="B21" s="19" t="s">
        <v>58</v>
      </c>
    </row>
    <row r="22" spans="1:50" x14ac:dyDescent="0.2">
      <c r="B22" s="15" t="s">
        <v>39</v>
      </c>
      <c r="C22" s="23">
        <f>'Input data'!C31</f>
        <v>42.795000000000002</v>
      </c>
      <c r="D22" s="23">
        <f>C22*(D23/100+1)</f>
        <v>43.880933823749999</v>
      </c>
      <c r="E22" s="77">
        <f t="shared" ref="E22:F22" si="1">D22*(E23/100+1)</f>
        <v>44.031126105210021</v>
      </c>
      <c r="F22" s="77">
        <f t="shared" si="1"/>
        <v>44.985617005713365</v>
      </c>
      <c r="G22" s="77">
        <f>F22*(G23/100+1)</f>
        <v>46.199339299219417</v>
      </c>
      <c r="H22" s="77">
        <f>G22*(H23/100+1)</f>
        <v>47.497156817017903</v>
      </c>
      <c r="I22" s="23">
        <f t="shared" ref="I22:W22" si="2">H22*(I23/100+1)</f>
        <v>48.735193958031886</v>
      </c>
      <c r="J22" s="23">
        <f t="shared" si="2"/>
        <v>49.840303956537362</v>
      </c>
      <c r="K22" s="23">
        <f t="shared" si="2"/>
        <v>50.966375848009783</v>
      </c>
      <c r="L22" s="23">
        <f t="shared" si="2"/>
        <v>51.822706779042946</v>
      </c>
      <c r="M22" s="23">
        <f t="shared" si="2"/>
        <v>52.665213398049097</v>
      </c>
      <c r="N22" s="23">
        <f t="shared" si="2"/>
        <v>53.49434555192061</v>
      </c>
      <c r="O22" s="23">
        <f t="shared" si="2"/>
        <v>54.334693040686837</v>
      </c>
      <c r="P22" s="23">
        <f t="shared" si="2"/>
        <v>55.215697487525745</v>
      </c>
      <c r="Q22" s="23">
        <f t="shared" si="2"/>
        <v>56.079589038648173</v>
      </c>
      <c r="R22" s="23">
        <f t="shared" si="2"/>
        <v>56.925108853726343</v>
      </c>
      <c r="S22" s="23">
        <f t="shared" si="2"/>
        <v>57.75100622627955</v>
      </c>
      <c r="T22" s="23">
        <f t="shared" si="2"/>
        <v>58.542891488714673</v>
      </c>
      <c r="U22" s="23">
        <f t="shared" si="2"/>
        <v>59.291079594232002</v>
      </c>
      <c r="V22" s="23">
        <f t="shared" si="2"/>
        <v>59.983225870091189</v>
      </c>
      <c r="W22" s="23">
        <f t="shared" si="2"/>
        <v>60.640628229485436</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6.3800220000000003</v>
      </c>
      <c r="D23" s="23">
        <f>+'Input data'!D30</f>
        <v>2.537525</v>
      </c>
      <c r="E23" s="77">
        <f>+'Input data'!E30</f>
        <v>0.34227229999999997</v>
      </c>
      <c r="F23" s="77">
        <f>+'Input data'!F30</f>
        <v>2.167764</v>
      </c>
      <c r="G23" s="77">
        <f>+'Input data'!G30</f>
        <v>2.6980230000000001</v>
      </c>
      <c r="H23" s="77">
        <f>+'Input data'!H30</f>
        <v>2.8091689999999998</v>
      </c>
      <c r="I23" s="23">
        <f>+'Input data'!I30</f>
        <v>2.6065499999999999</v>
      </c>
      <c r="J23" s="23">
        <f>+'Input data'!J30</f>
        <v>2.2675809999999998</v>
      </c>
      <c r="K23" s="23">
        <f>+'Input data'!K30</f>
        <v>2.25936</v>
      </c>
      <c r="L23" s="23">
        <f>+'Input data'!L30</f>
        <v>1.680188</v>
      </c>
      <c r="M23" s="23">
        <f>+'Input data'!M30</f>
        <v>1.625748</v>
      </c>
      <c r="N23" s="23">
        <f>+'Input data'!N30</f>
        <v>1.5743450000000001</v>
      </c>
      <c r="O23" s="23">
        <f>+'Input data'!O30</f>
        <v>1.5709090000000001</v>
      </c>
      <c r="P23" s="23">
        <f>+'Input data'!P30</f>
        <v>1.62144</v>
      </c>
      <c r="Q23" s="23">
        <f>+'Input data'!Q30</f>
        <v>1.564576</v>
      </c>
      <c r="R23" s="23">
        <f>+'Input data'!R30</f>
        <v>1.507714</v>
      </c>
      <c r="S23" s="23">
        <f>+'Input data'!S30</f>
        <v>1.4508490000000001</v>
      </c>
      <c r="T23" s="23">
        <f>+'Input data'!T30</f>
        <v>1.3712059999999999</v>
      </c>
      <c r="U23" s="23">
        <f>+'Input data'!U30</f>
        <v>1.278017</v>
      </c>
      <c r="V23" s="23">
        <f>+'Input data'!V30</f>
        <v>1.16737</v>
      </c>
      <c r="W23" s="23">
        <f>+'Input data'!W30</f>
        <v>1.095977</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8"/>
      <c r="B25" s="19" t="s">
        <v>59</v>
      </c>
      <c r="C25" s="157"/>
      <c r="D25" s="157"/>
      <c r="E25" s="157"/>
      <c r="F25" s="157"/>
      <c r="H25" s="184"/>
      <c r="I25" s="184"/>
      <c r="J25" s="184"/>
      <c r="K25" s="184"/>
      <c r="L25" s="184"/>
      <c r="M25" s="184"/>
      <c r="N25" s="184"/>
      <c r="O25" s="184"/>
      <c r="P25" s="184"/>
      <c r="Q25" s="184"/>
      <c r="R25" s="184"/>
      <c r="S25" s="184"/>
      <c r="T25" s="184"/>
    </row>
    <row r="26" spans="1:50" x14ac:dyDescent="0.2">
      <c r="B26" s="15" t="s">
        <v>39</v>
      </c>
      <c r="C26" s="23">
        <f>'Input data'!C34</f>
        <v>41.97242</v>
      </c>
      <c r="D26" s="23">
        <f>+C26*(1+'Input data'!D33/100)</f>
        <v>43.490069675189204</v>
      </c>
      <c r="E26" s="77">
        <f>+D26*(1+'Input data'!E33/100)</f>
        <v>44.943668282091132</v>
      </c>
      <c r="F26" s="77">
        <f>+E26*(1+'Input data'!F33/100)</f>
        <v>46.006950979549032</v>
      </c>
      <c r="G26" s="77">
        <f>+F26*(1+'Input data'!G33/100)</f>
        <v>47.158050873960974</v>
      </c>
      <c r="H26" s="77">
        <f>+G26*(1+'Input data'!H33/100)</f>
        <v>48.159376631388142</v>
      </c>
      <c r="I26" s="23">
        <f>+H26*(1+'Input data'!I33/100)</f>
        <v>49.186083492230111</v>
      </c>
      <c r="J26" s="23">
        <f>+I26*(1+'Input data'!J33/100)</f>
        <v>50.069797065953303</v>
      </c>
      <c r="K26" s="23">
        <f>+J26*(1+'Input data'!K33/100)</f>
        <v>50.966368382229</v>
      </c>
      <c r="L26" s="23">
        <f>+K26*(1+'Input data'!L33/100)</f>
        <v>51.822699697486691</v>
      </c>
      <c r="M26" s="23">
        <f>+L26*(1+'Input data'!M33/100)</f>
        <v>52.665207756045575</v>
      </c>
      <c r="N26" s="23">
        <f>+M26*(1+'Input data'!N33/100)</f>
        <v>53.494339294440415</v>
      </c>
      <c r="O26" s="23">
        <f>+N26*(1+'Input data'!O33/100)</f>
        <v>54.334685080077143</v>
      </c>
      <c r="P26" s="23">
        <f>+O26*(1+'Input data'!P33/100)</f>
        <v>55.21568994118639</v>
      </c>
      <c r="Q26" s="23">
        <f>+P26*(1+'Input data'!Q33/100)</f>
        <v>56.079581926397502</v>
      </c>
      <c r="R26" s="23">
        <f>+Q26*(1+'Input data'!R33/100)</f>
        <v>56.925101634243269</v>
      </c>
      <c r="S26" s="23">
        <f>+R26*(1+'Input data'!S33/100)</f>
        <v>57.750999471303693</v>
      </c>
      <c r="T26" s="23">
        <f>+S26*(1+'Input data'!T33/100)</f>
        <v>58.542883486094183</v>
      </c>
      <c r="U26" s="23">
        <f>+T26*(1+'Input data'!U33/100)</f>
        <v>59.29107324562316</v>
      </c>
      <c r="V26" s="23">
        <f>+U26*(1+'Input data'!V33/100)</f>
        <v>59.983219447370594</v>
      </c>
      <c r="W26" s="23">
        <f>+V26*(1+'Input data'!W33/100)</f>
        <v>60.640621736373298</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60</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60</v>
      </c>
      <c r="C29" s="23">
        <f t="shared" ref="C29:T29" si="3">100*(C22/C26-1)</f>
        <v>1.9598107519175789</v>
      </c>
      <c r="D29" s="23">
        <f t="shared" si="3"/>
        <v>0.89874344069809098</v>
      </c>
      <c r="E29" s="77">
        <f t="shared" si="3"/>
        <v>-2.030413207826065</v>
      </c>
      <c r="F29" s="77">
        <f t="shared" si="3"/>
        <v>-2.2199557938313963</v>
      </c>
      <c r="G29" s="77">
        <f t="shared" si="3"/>
        <v>-2.0329754028721392</v>
      </c>
      <c r="H29" s="77">
        <f t="shared" si="3"/>
        <v>-1.3750589411463343</v>
      </c>
      <c r="I29" s="23">
        <f t="shared" si="3"/>
        <v>-0.91670143704255524</v>
      </c>
      <c r="J29" s="23">
        <f t="shared" si="3"/>
        <v>-0.45834639416182377</v>
      </c>
      <c r="K29" s="23">
        <f t="shared" si="3"/>
        <v>1.4648445678666633E-5</v>
      </c>
      <c r="L29" s="23">
        <f t="shared" si="3"/>
        <v>1.3664969777948954E-5</v>
      </c>
      <c r="M29" s="23">
        <f t="shared" si="3"/>
        <v>1.0712961673320365E-5</v>
      </c>
      <c r="N29" s="23">
        <f t="shared" si="3"/>
        <v>1.1697462332094233E-5</v>
      </c>
      <c r="O29" s="23">
        <f t="shared" si="3"/>
        <v>1.4651064383919277E-5</v>
      </c>
      <c r="P29" s="23">
        <f t="shared" si="3"/>
        <v>1.3667019937990688E-5</v>
      </c>
      <c r="Q29" s="23">
        <f t="shared" si="3"/>
        <v>1.2682424554988359E-5</v>
      </c>
      <c r="R29" s="23">
        <f t="shared" si="3"/>
        <v>1.2682424554988359E-5</v>
      </c>
      <c r="S29" s="23">
        <f t="shared" si="3"/>
        <v>1.1696725454868329E-5</v>
      </c>
      <c r="T29" s="23">
        <f t="shared" si="3"/>
        <v>1.3669672571658964E-5</v>
      </c>
      <c r="U29" s="23">
        <f t="shared" ref="U29:W29" si="4">100*(U22/U26-1)</f>
        <v>1.0707528974585045E-5</v>
      </c>
      <c r="V29" s="23">
        <f t="shared" si="4"/>
        <v>1.0707528952380585E-5</v>
      </c>
      <c r="W29" s="23">
        <f t="shared" si="4"/>
        <v>1.0707528974585045E-5</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61</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5">100*((1+C23/100)*(1+C41/100)-1)</f>
        <v>12.762560561345659</v>
      </c>
      <c r="D32" s="1">
        <f t="shared" si="5"/>
        <v>19.011767722887484</v>
      </c>
      <c r="E32" s="2">
        <f t="shared" si="5"/>
        <v>9.3949002478024966</v>
      </c>
      <c r="F32" s="2">
        <f t="shared" si="5"/>
        <v>5.8608732491900017</v>
      </c>
      <c r="G32" s="2">
        <f>100*((1+G23/100)*(1+G41/100)-1)</f>
        <v>6.2645065920009957</v>
      </c>
      <c r="H32" s="2">
        <f>100*((1+H23/100)*(1+H41/100)-1)</f>
        <v>5.0737702116718575</v>
      </c>
      <c r="I32" s="1">
        <f t="shared" si="5"/>
        <v>4.8855775574369487</v>
      </c>
      <c r="J32" s="1">
        <f t="shared" si="5"/>
        <v>4.5579066845479632</v>
      </c>
      <c r="K32" s="1">
        <f t="shared" si="5"/>
        <v>4.5683271364829858</v>
      </c>
      <c r="L32" s="1">
        <f t="shared" si="5"/>
        <v>3.9947966527596135</v>
      </c>
      <c r="M32" s="1">
        <f t="shared" si="5"/>
        <v>3.9578263206692554</v>
      </c>
      <c r="N32" s="1">
        <f t="shared" si="5"/>
        <v>3.9239431954785964</v>
      </c>
      <c r="O32" s="1">
        <f t="shared" si="5"/>
        <v>3.9391265380440021</v>
      </c>
      <c r="P32" s="1">
        <f t="shared" si="5"/>
        <v>4.0095438400000072</v>
      </c>
      <c r="Q32" s="1">
        <f t="shared" si="5"/>
        <v>3.9335697352000043</v>
      </c>
      <c r="R32" s="1">
        <f t="shared" si="5"/>
        <v>3.8576175791000145</v>
      </c>
      <c r="S32" s="1">
        <f t="shared" si="5"/>
        <v>3.7816822557749985</v>
      </c>
      <c r="T32" s="1">
        <f t="shared" si="5"/>
        <v>3.6824694968000005</v>
      </c>
      <c r="U32" s="1">
        <f t="shared" si="5"/>
        <v>3.5694321346249946</v>
      </c>
      <c r="V32" s="1">
        <f t="shared" si="5"/>
        <v>3.4385774565000027</v>
      </c>
      <c r="W32" s="1">
        <f t="shared" si="5"/>
        <v>3.3478898876750041</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62</v>
      </c>
    </row>
    <row r="35" spans="2:51" x14ac:dyDescent="0.2">
      <c r="B35" s="15" t="s">
        <v>41</v>
      </c>
      <c r="C35" s="1">
        <f>'Input data'!C37</f>
        <v>1.1161000000000001</v>
      </c>
      <c r="D35" s="1">
        <f>'Input data'!D37</f>
        <v>0.91907830000000001</v>
      </c>
      <c r="E35" s="2">
        <f>'Input data'!E37</f>
        <v>1.699492</v>
      </c>
      <c r="F35" s="2">
        <f>'Input data'!F37</f>
        <v>2.2164999999999999</v>
      </c>
      <c r="G35" s="2">
        <f>'Input data'!G37</f>
        <v>2.5547230000000001</v>
      </c>
      <c r="H35" s="2">
        <f>'Input data'!H37</f>
        <v>2.893256</v>
      </c>
      <c r="I35" s="1">
        <f t="shared" ref="I35:W35" si="6">I96</f>
        <v>2.9606043041704009</v>
      </c>
      <c r="J35" s="1">
        <f t="shared" si="6"/>
        <v>3.0131014629797841</v>
      </c>
      <c r="K35" s="1">
        <f t="shared" si="6"/>
        <v>3.0718205787824284</v>
      </c>
      <c r="L35" s="1">
        <f t="shared" si="6"/>
        <v>3.1357199599519898</v>
      </c>
      <c r="M35" s="1">
        <f t="shared" si="6"/>
        <v>3.2054069803337533</v>
      </c>
      <c r="N35" s="1">
        <f t="shared" si="6"/>
        <v>3.2800706243582374</v>
      </c>
      <c r="O35" s="1">
        <f t="shared" si="6"/>
        <v>3.3589471518053231</v>
      </c>
      <c r="P35" s="1">
        <f t="shared" si="6"/>
        <v>3.441288787303554</v>
      </c>
      <c r="Q35" s="1">
        <f t="shared" si="6"/>
        <v>3.5117928324550469</v>
      </c>
      <c r="R35" s="1">
        <f t="shared" si="6"/>
        <v>3.5728034616790314</v>
      </c>
      <c r="S35" s="1">
        <f t="shared" si="6"/>
        <v>3.6254055220362731</v>
      </c>
      <c r="T35" s="1">
        <f>T96</f>
        <v>3.6705978945489752</v>
      </c>
      <c r="U35" s="1">
        <f t="shared" si="6"/>
        <v>3.7094764880173141</v>
      </c>
      <c r="V35" s="1">
        <f t="shared" si="6"/>
        <v>3.7430062495149063</v>
      </c>
      <c r="W35" s="1">
        <f t="shared" si="6"/>
        <v>3.7719818638754132</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63</v>
      </c>
      <c r="C36" s="1"/>
      <c r="D36" s="1"/>
      <c r="E36" s="2">
        <f>'Input data'!E39</f>
        <v>2.88</v>
      </c>
      <c r="F36" s="137">
        <f>'Input data'!F39</f>
        <v>3.4270849999999999</v>
      </c>
      <c r="G36" s="137">
        <f>'Input data'!G39</f>
        <v>3.0076990000000001</v>
      </c>
      <c r="H36" s="137">
        <f>'Input data'!H39</f>
        <v>3.1136879999999998</v>
      </c>
      <c r="I36" s="1">
        <f>H36+($P$36-$H$36)/($P$10-$H$10)</f>
        <v>3.2113594999999999</v>
      </c>
      <c r="J36" s="1">
        <f t="shared" ref="J36:O36" si="7">I36+($P$36-$H$36)/($P$10-$H$10)</f>
        <v>3.3090310000000001</v>
      </c>
      <c r="K36" s="1">
        <f t="shared" si="7"/>
        <v>3.4067025000000002</v>
      </c>
      <c r="L36" s="1">
        <f t="shared" si="7"/>
        <v>3.5043740000000003</v>
      </c>
      <c r="M36" s="1">
        <f t="shared" si="7"/>
        <v>3.6020455000000005</v>
      </c>
      <c r="N36" s="1">
        <f t="shared" si="7"/>
        <v>3.6997170000000006</v>
      </c>
      <c r="O36" s="1">
        <f t="shared" si="7"/>
        <v>3.7973885000000007</v>
      </c>
      <c r="P36" s="178">
        <f>'Input data'!$C$52</f>
        <v>3.89506</v>
      </c>
      <c r="Q36" s="1">
        <f>$P$36+('Input data'!$C$54-'Input data'!$C$52)/20*(Q$10-$P$10)</f>
        <v>3.9003069999999997</v>
      </c>
      <c r="R36" s="1">
        <f>$P$36+('Input data'!$C$54-'Input data'!$C$52)/20*(R$10-$P$10)</f>
        <v>3.905554</v>
      </c>
      <c r="S36" s="1">
        <f>$P$36+('Input data'!$C$54-'Input data'!$C$52)/20*(S$10-$P$10)</f>
        <v>3.9108010000000002</v>
      </c>
      <c r="T36" s="1">
        <f>$P$36+('Input data'!$C$54-'Input data'!$C$52)/20*(T$10-$P$10)</f>
        <v>3.916048</v>
      </c>
      <c r="U36" s="1">
        <f>$P$36+('Input data'!$C$54-'Input data'!$C$52)/20*(U$10-$P$10)</f>
        <v>3.9212949999999998</v>
      </c>
      <c r="V36" s="1">
        <f>$P$36+('Input data'!$C$54-'Input data'!$C$52)/20*(V$10-$P$10)</f>
        <v>3.926542</v>
      </c>
      <c r="W36" s="1">
        <f>$P$36+('Input data'!$C$54-'Input data'!$C$52)/20*(W$10-$P$10)</f>
        <v>3.9317890000000002</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64</v>
      </c>
      <c r="C37" s="1"/>
      <c r="D37" s="1"/>
      <c r="E37" s="2">
        <f>'Input data'!E$38</f>
        <v>3.43</v>
      </c>
      <c r="F37" s="137">
        <f>'Input data'!F$38</f>
        <v>3.5292500000000002</v>
      </c>
      <c r="G37" s="137">
        <f>'Input data'!G$38</f>
        <v>2.0662500000000001</v>
      </c>
      <c r="H37" s="137">
        <f>'Input data'!H$38</f>
        <v>1.9957499999999999</v>
      </c>
      <c r="I37" s="1">
        <f>H37+($P$37-$H$37)/($P$10-$H$10)</f>
        <v>2.079285</v>
      </c>
      <c r="J37" s="1">
        <f t="shared" ref="J37:O37" si="8">I37+($P$37-$H$37)/($P$10-$H$10)</f>
        <v>2.16282</v>
      </c>
      <c r="K37" s="1">
        <f t="shared" si="8"/>
        <v>2.2463549999999999</v>
      </c>
      <c r="L37" s="1">
        <f t="shared" si="8"/>
        <v>2.3298899999999998</v>
      </c>
      <c r="M37" s="1">
        <f t="shared" si="8"/>
        <v>2.4134249999999997</v>
      </c>
      <c r="N37" s="1">
        <f t="shared" si="8"/>
        <v>2.4969599999999996</v>
      </c>
      <c r="O37" s="1">
        <f t="shared" si="8"/>
        <v>2.5804949999999995</v>
      </c>
      <c r="P37" s="178">
        <f>'Input data'!$C$53</f>
        <v>2.6640299999999999</v>
      </c>
      <c r="Q37" s="1">
        <f>$P$37+('Input data'!$C$55-'Input data'!$C$53)/20*(Q$10-$P$10)</f>
        <v>2.6308284999999998</v>
      </c>
      <c r="R37" s="1">
        <f>$P$37+('Input data'!$C$55-'Input data'!$C$53)/20*(R$10-$P$10)</f>
        <v>2.5976270000000001</v>
      </c>
      <c r="S37" s="1">
        <f>$P$37+('Input data'!$C$55-'Input data'!$C$53)/20*(S$10-$P$10)</f>
        <v>2.5644255</v>
      </c>
      <c r="T37" s="1">
        <f>$P$37+('Input data'!$C$55-'Input data'!$C$53)/20*(T$10-$P$10)</f>
        <v>2.5312239999999999</v>
      </c>
      <c r="U37" s="1">
        <f>$P$37+('Input data'!$C$55-'Input data'!$C$53)/20*(U$10-$P$10)</f>
        <v>2.4980224999999998</v>
      </c>
      <c r="V37" s="1">
        <f>$P$37+('Input data'!$C$55-'Input data'!$C$53)/20*(V$10-$P$10)</f>
        <v>2.4648209999999997</v>
      </c>
      <c r="W37" s="1">
        <f>$P$37+('Input data'!$C$55-'Input data'!$C$53)/20*(W$10-$P$10)</f>
        <v>2.4316195</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65</v>
      </c>
      <c r="C38" s="1">
        <v>8.3575490000000002E-2</v>
      </c>
      <c r="D38" s="1">
        <v>9.4541159999999999E-2</v>
      </c>
      <c r="E38" s="1">
        <v>6.7232780000000006E-2</v>
      </c>
      <c r="F38" s="1">
        <v>0.10127042</v>
      </c>
      <c r="G38" s="1">
        <f>IF(OR($C$3="EL",$C$3="CY",$C$3="IE",$C$3="PT"),VLOOKUP($C$3,$B$110:$T$114,MATCH(G$10,$B$110:$T$110,0),0),$F$38+('Input data'!$C$59-$F$38)/($P$10-$F$10)*(G10-$F$10))</f>
        <v>9.9750014999999997E-2</v>
      </c>
      <c r="H38" s="1">
        <f>IF(OR($C$3="EL",$C$3="CY",$C$3="IE",$C$3="PT"),VLOOKUP($C$3,$B$110:$T$114,MATCH(H$10,$B$110:$T$110,0),0),$F$38+('Input data'!$C$59-$F$38)/($P$10-$F$10)*(H10-$F$10))</f>
        <v>9.8229609999999995E-2</v>
      </c>
      <c r="I38" s="1">
        <f>IF(OR($C$3="EL",$C$3="CY",$C$3="IE",$C$3="PT"),VLOOKUP($C$3,$B$110:$T$114,MATCH(I$10,$B$110:$T$110,0),0),$F$38+('Input data'!$C$59-$F$38)/($P$10-$F$10)*(I10-$F$10))</f>
        <v>9.6709205000000006E-2</v>
      </c>
      <c r="J38" s="1">
        <f>IF(OR($C$3="EL",$C$3="CY",$C$3="IE",$C$3="PT"),VLOOKUP($C$3,$B$110:$T$114,MATCH(J$10,$B$110:$T$110,0),0),$F$38+('Input data'!$C$59-$F$38)/($P$10-$F$10)*(J10-$F$10))</f>
        <v>9.5188800000000004E-2</v>
      </c>
      <c r="K38" s="1">
        <f>IF(OR($C$3="EL",$C$3="CY",$C$3="IE",$C$3="PT"),VLOOKUP($C$3,$B$110:$T$114,MATCH(K$10,$B$110:$T$110,0),0),$F$38+('Input data'!$C$59-$F$38)/($P$10-$F$10)*(K10-$F$10))</f>
        <v>9.3668395000000002E-2</v>
      </c>
      <c r="L38" s="1">
        <f>IF(OR($C$3="EL",$C$3="CY",$C$3="IE",$C$3="PT"),VLOOKUP($C$3,$B$110:$T$114,MATCH(L$10,$B$110:$T$110,0),0),$F$38+('Input data'!$C$59-$F$38)/($P$10-$F$10)*(L10-$F$10))</f>
        <v>9.2147989999999999E-2</v>
      </c>
      <c r="M38" s="1">
        <f>IF(OR($C$3="EL",$C$3="CY",$C$3="IE",$C$3="PT"),VLOOKUP($C$3,$B$110:$T$114,MATCH(M$10,$B$110:$T$110,0),0),$F$38+('Input data'!$C$59-$F$38)/($P$10-$F$10)*(M10-$F$10))</f>
        <v>9.0627584999999997E-2</v>
      </c>
      <c r="N38" s="1">
        <f>IF(OR($C$3="EL",$C$3="CY",$C$3="IE",$C$3="PT"),VLOOKUP($C$3,$B$110:$T$114,MATCH(N$10,$B$110:$T$110,0),0),$F$38+('Input data'!$C$59-$F$38)/($P$10-$F$10)*(N10-$F$10))</f>
        <v>8.9107180000000008E-2</v>
      </c>
      <c r="O38" s="1">
        <f>IF(OR($C$3="EL",$C$3="CY",$C$3="IE",$C$3="PT"),VLOOKUP($C$3,$B$110:$T$114,MATCH(O$10,$B$110:$T$110,0),0),$F$38+('Input data'!$C$59-$F$38)/($P$10-$F$10)*(O10-$F$10))</f>
        <v>8.7586775000000006E-2</v>
      </c>
      <c r="P38" s="178">
        <f>IF(OR($C$3="EL",$C$3="CY",$C$3="IE",$C$3="PT"),VLOOKUP($C$3,$B$110:$T$114,MATCH(P$10,$B$110:$T$110,0),0),'Input data'!$C$59)</f>
        <v>8.6066370000000003E-2</v>
      </c>
      <c r="Q38" s="1">
        <f>IF(OR($C$3="EL",$C$3="CY",$C$3="IE",$C$3="PT"),VLOOKUP($C$3,$B$110:$T$114,MATCH(Q$10,$B$110:$T$110,0),0),'Input data'!$C$59)</f>
        <v>8.6066370000000003E-2</v>
      </c>
      <c r="R38" s="1">
        <f>IF(OR($C$3="EL",$C$3="CY",$C$3="IE",$C$3="PT"),VLOOKUP($C$3,$B$110:$T$114,MATCH(R$10,$B$110:$T$110,0),0),'Input data'!$C$59)</f>
        <v>8.6066370000000003E-2</v>
      </c>
      <c r="S38" s="1">
        <f>IF(OR($C$3="EL",$C$3="CY",$C$3="IE",$C$3="PT"),VLOOKUP($C$3,$B$110:$T$114,MATCH(S$10,$B$110:$T$110,0),0),'Input data'!$C$59)</f>
        <v>8.6066370000000003E-2</v>
      </c>
      <c r="T38" s="1">
        <f>IF(OR($C$3="EL",$C$3="CY",$C$3="IE",$C$3="PT"),VLOOKUP($C$3,$B$110:$T$114,MATCH(T$10,$B$110:$T$110,0),0),'Input data'!$C$59)</f>
        <v>8.6066370000000003E-2</v>
      </c>
      <c r="U38" s="1">
        <f>IF(OR($C$3="EL",$C$3="CY",$C$3="IE",$C$3="PT"),VLOOKUP($C$3,$B$110:$W$114,MATCH(U$10,$B$110:$W$110,0),0),'Input data'!$C$59)</f>
        <v>8.6066370000000003E-2</v>
      </c>
      <c r="V38" s="1">
        <f>IF(OR($C$3="EL",$C$3="CY",$C$3="IE",$C$3="PT"),VLOOKUP($C$3,$B$110:$W$114,MATCH(V$10,$B$110:$W$110,0),0),'Input data'!$C$59)</f>
        <v>8.6066370000000003E-2</v>
      </c>
      <c r="W38" s="1">
        <f>IF(OR($C$3="EL",$C$3="CY",$C$3="IE",$C$3="PT"),VLOOKUP($C$3,$B$110:$W$114,MATCH(W$10,$B$110:$W$110,0),0),'Input data'!$C$59)</f>
        <v>8.6066370000000003E-2</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66</v>
      </c>
      <c r="C40" s="1"/>
      <c r="D40" s="1"/>
      <c r="E40" s="1"/>
      <c r="F40" s="1"/>
      <c r="G40" s="80"/>
      <c r="H40" s="80"/>
      <c r="I40" s="80"/>
      <c r="J40" s="80"/>
      <c r="K40" s="80"/>
      <c r="L40" s="80"/>
      <c r="M40" s="80"/>
      <c r="N40" s="1"/>
      <c r="O40" s="80"/>
      <c r="P40" s="80"/>
      <c r="Q40" s="80"/>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5.9997530000000001</v>
      </c>
      <c r="D41" s="1">
        <f>'Input data'!D42</f>
        <v>16.066549999999999</v>
      </c>
      <c r="E41" s="2">
        <f>'Input data'!E42</f>
        <v>9.0217489999999998</v>
      </c>
      <c r="F41" s="2">
        <f>'Input data'!F42</f>
        <v>3.6147499999999999</v>
      </c>
      <c r="G41" s="2">
        <f>'Input data'!G42</f>
        <v>3.4727869999999998</v>
      </c>
      <c r="H41" s="2">
        <f>'Input data'!H42</f>
        <v>2.2027230000000002</v>
      </c>
      <c r="I41" s="1">
        <f>$H$41+($P$41-$H$41)/($P$10-$H$10)*(I10-$H$10)</f>
        <v>2.2211326250000001</v>
      </c>
      <c r="J41" s="1">
        <f t="shared" ref="J41:O41" si="9">$H$41+($P$41-$H$41)/($P$10-$H$10)*(J10-$H$10)</f>
        <v>2.2395422500000004</v>
      </c>
      <c r="K41" s="1">
        <f t="shared" si="9"/>
        <v>2.2579518750000003</v>
      </c>
      <c r="L41" s="1">
        <f t="shared" si="9"/>
        <v>2.2763615000000001</v>
      </c>
      <c r="M41" s="1">
        <f t="shared" si="9"/>
        <v>2.294771125</v>
      </c>
      <c r="N41" s="1">
        <f t="shared" si="9"/>
        <v>2.3131807499999999</v>
      </c>
      <c r="O41" s="1">
        <f t="shared" si="9"/>
        <v>2.3315903750000002</v>
      </c>
      <c r="P41" s="178">
        <f>'Input data'!$C$61</f>
        <v>2.35</v>
      </c>
      <c r="Q41" s="1">
        <f>$P$41+('Input data'!$C$62-'Input data'!$C$61)/20*(Q$10-$P$10)</f>
        <v>2.3325</v>
      </c>
      <c r="R41" s="1">
        <f>$P$41+('Input data'!$C$62-'Input data'!$C$61)/20*(R$10-$P$10)</f>
        <v>2.3149999999999999</v>
      </c>
      <c r="S41" s="1">
        <f>$P$41+('Input data'!$C$62-'Input data'!$C$61)/20*(S$10-$P$10)</f>
        <v>2.2974999999999999</v>
      </c>
      <c r="T41" s="1">
        <f>$P$41+('Input data'!$C$62-'Input data'!$C$61)/20*(T$10-$P$10)</f>
        <v>2.2800000000000002</v>
      </c>
      <c r="U41" s="1">
        <f>$P$41+('Input data'!$C$62-'Input data'!$C$61)/20*(U$10-$P$10)</f>
        <v>2.2625000000000002</v>
      </c>
      <c r="V41" s="1">
        <f>$P$41+('Input data'!$C$62-'Input data'!$C$61)/20*(V$10-$P$10)</f>
        <v>2.2450000000000001</v>
      </c>
      <c r="W41" s="1">
        <f>$P$41+('Input data'!$C$62-'Input data'!$C$61)/20*(W$10-$P$10)</f>
        <v>2.2275</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67</v>
      </c>
      <c r="C42" s="1">
        <v>1</v>
      </c>
      <c r="D42" s="1">
        <v>1</v>
      </c>
      <c r="E42" s="1">
        <v>1</v>
      </c>
      <c r="F42" s="1">
        <v>1</v>
      </c>
      <c r="G42" s="1">
        <v>0.99999990000000005</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68</v>
      </c>
      <c r="C44" s="330"/>
    </row>
    <row r="45" spans="2:51" x14ac:dyDescent="0.2">
      <c r="C45" s="25"/>
    </row>
    <row r="46" spans="2:51" x14ac:dyDescent="0.2">
      <c r="B46" s="39" t="s">
        <v>46</v>
      </c>
      <c r="C46" s="40">
        <f>'Input data'!C49</f>
        <v>0.75</v>
      </c>
    </row>
    <row r="47" spans="2:51" x14ac:dyDescent="0.2">
      <c r="B47" s="41" t="s">
        <v>182</v>
      </c>
      <c r="C47" s="42">
        <f>'Input data'!C50</f>
        <v>0.39900000000000002</v>
      </c>
    </row>
    <row r="48" spans="2:51" x14ac:dyDescent="0.2">
      <c r="C48" s="43"/>
    </row>
    <row r="49" spans="2:48" outlineLevel="1" x14ac:dyDescent="0.2">
      <c r="B49" s="15" t="s">
        <v>69</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IF(AND(ABS(G12-F12)&gt;0.0001,G$10&gt;$C$5),4,IF(F49=4,3,IF(F49=3,2,IF(F49=2,1,0))))</f>
        <v>0</v>
      </c>
      <c r="H49" s="23">
        <f t="shared" ref="H49:W49" si="10">IF(AND(ABS(H12-G12)&gt;0.0001,H$10&gt;$C$5),4,IF(G49=4,3,IF(G49=3,2,IF(G49=2,1,0))))</f>
        <v>0</v>
      </c>
      <c r="I49" s="23">
        <f t="shared" si="10"/>
        <v>0</v>
      </c>
      <c r="J49" s="23">
        <f t="shared" si="10"/>
        <v>0</v>
      </c>
      <c r="K49" s="23">
        <f t="shared" si="10"/>
        <v>0</v>
      </c>
      <c r="L49" s="23">
        <f t="shared" si="10"/>
        <v>0</v>
      </c>
      <c r="M49" s="23">
        <f t="shared" si="10"/>
        <v>0</v>
      </c>
      <c r="N49" s="23">
        <f t="shared" si="10"/>
        <v>0</v>
      </c>
      <c r="O49" s="23">
        <f t="shared" si="10"/>
        <v>0</v>
      </c>
      <c r="P49" s="23">
        <f t="shared" si="10"/>
        <v>0</v>
      </c>
      <c r="Q49" s="23">
        <f t="shared" si="10"/>
        <v>0</v>
      </c>
      <c r="R49" s="23">
        <f t="shared" si="10"/>
        <v>0</v>
      </c>
      <c r="S49" s="23">
        <f t="shared" si="10"/>
        <v>0</v>
      </c>
      <c r="T49" s="23">
        <f t="shared" si="10"/>
        <v>0</v>
      </c>
      <c r="U49" s="23">
        <f t="shared" si="10"/>
        <v>0</v>
      </c>
      <c r="V49" s="23">
        <f t="shared" si="10"/>
        <v>0</v>
      </c>
      <c r="W49" s="23">
        <f t="shared" si="10"/>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70</v>
      </c>
      <c r="C50" s="23"/>
      <c r="D50" s="23">
        <f t="shared" ref="D50:W50" si="11">IF(C49=4,2/3*C29,IF(C49=3,1/3*B29,0))</f>
        <v>0</v>
      </c>
      <c r="E50" s="23">
        <f t="shared" si="11"/>
        <v>0</v>
      </c>
      <c r="F50" s="23">
        <f t="shared" si="11"/>
        <v>0</v>
      </c>
      <c r="G50" s="23">
        <f t="shared" si="11"/>
        <v>0</v>
      </c>
      <c r="H50" s="23">
        <f t="shared" si="11"/>
        <v>0</v>
      </c>
      <c r="I50" s="23">
        <f t="shared" si="11"/>
        <v>0</v>
      </c>
      <c r="J50" s="23">
        <f t="shared" si="11"/>
        <v>0</v>
      </c>
      <c r="K50" s="23">
        <f t="shared" si="11"/>
        <v>0</v>
      </c>
      <c r="L50" s="23">
        <f t="shared" si="11"/>
        <v>0</v>
      </c>
      <c r="M50" s="23">
        <f t="shared" si="11"/>
        <v>0</v>
      </c>
      <c r="N50" s="23">
        <f t="shared" si="11"/>
        <v>0</v>
      </c>
      <c r="O50" s="23">
        <f t="shared" si="11"/>
        <v>0</v>
      </c>
      <c r="P50" s="23">
        <f t="shared" si="11"/>
        <v>0</v>
      </c>
      <c r="Q50" s="23">
        <f t="shared" si="11"/>
        <v>0</v>
      </c>
      <c r="R50" s="23">
        <f t="shared" si="11"/>
        <v>0</v>
      </c>
      <c r="S50" s="23">
        <f t="shared" si="11"/>
        <v>0</v>
      </c>
      <c r="T50" s="23">
        <f t="shared" si="11"/>
        <v>0</v>
      </c>
      <c r="U50" s="23">
        <f t="shared" si="11"/>
        <v>0</v>
      </c>
      <c r="V50" s="23">
        <f t="shared" si="11"/>
        <v>0</v>
      </c>
      <c r="W50" s="23">
        <f t="shared" si="11"/>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71</v>
      </c>
      <c r="C51" s="23"/>
      <c r="D51" s="23">
        <f>'Input data'!D30-$C$46*((D12-C12)-('Input data'!D13-'Input data'!C13))</f>
        <v>2.537525</v>
      </c>
      <c r="E51" s="23">
        <f>'Input data'!E30-$C$46*((E12-D12)-('Input data'!E13-'Input data'!D13))</f>
        <v>0.34227229999999997</v>
      </c>
      <c r="F51" s="23">
        <f>'Input data'!F30-$C$46*((F12-E12)-('Input data'!F13-'Input data'!E13))</f>
        <v>2.167764</v>
      </c>
      <c r="G51" s="23">
        <f>'Input data'!G30-$C$46*((G12-F12)-('Input data'!G13-'Input data'!F13))</f>
        <v>2.9753723249999999</v>
      </c>
      <c r="H51" s="23">
        <f>'Input data'!H30-$C$46*((H12-G12))</f>
        <v>2.8091689999999998</v>
      </c>
      <c r="I51" s="23">
        <f>'Input data'!I30-$C$46*((I12-H12))</f>
        <v>2.6065499999999999</v>
      </c>
      <c r="J51" s="23">
        <f>'Input data'!J30-$C$46*((J12-I12))</f>
        <v>2.2675809999999998</v>
      </c>
      <c r="K51" s="23">
        <f>'Input data'!K30-$C$46*((K12-J12))</f>
        <v>2.25936</v>
      </c>
      <c r="L51" s="23">
        <f>'Input data'!L30-$C$46*((L12-K12))</f>
        <v>1.680188</v>
      </c>
      <c r="M51" s="23">
        <f>'Input data'!M30-$C$46*((M12-L12))</f>
        <v>1.625748</v>
      </c>
      <c r="N51" s="23">
        <f>'Input data'!N30-$C$46*((N12-M12))</f>
        <v>1.5743450000000001</v>
      </c>
      <c r="O51" s="23">
        <f>'Input data'!O30-$C$46*((O12-N12))</f>
        <v>1.5709090000000001</v>
      </c>
      <c r="P51" s="23">
        <f>'Input data'!P30-$C$46*((P12-O12))</f>
        <v>1.62144</v>
      </c>
      <c r="Q51" s="23">
        <f>'Input data'!Q30-$C$46*((Q12-P12))</f>
        <v>1.564576</v>
      </c>
      <c r="R51" s="23">
        <f>'Input data'!R30-$C$46*((R12-Q12))</f>
        <v>1.507714</v>
      </c>
      <c r="S51" s="23">
        <f>'Input data'!S30-$C$46*((S12-R12))</f>
        <v>1.4508490000000001</v>
      </c>
      <c r="T51" s="23">
        <f>'Input data'!T30-$C$46*((T12-S12))</f>
        <v>1.3712059999999999</v>
      </c>
      <c r="U51" s="23">
        <f>'Input data'!U30-$C$46*((U12-T12))</f>
        <v>1.278017</v>
      </c>
      <c r="V51" s="23">
        <f>'Input data'!V30-$C$46*((V12-U12))</f>
        <v>1.16737</v>
      </c>
      <c r="W51" s="23">
        <f>'Input data'!W30-$C$46*((W12-V12))</f>
        <v>1.095977</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72</v>
      </c>
      <c r="C53" s="58"/>
      <c r="E53" s="59"/>
      <c r="F53" s="58"/>
    </row>
    <row r="54" spans="2:48" outlineLevel="1" x14ac:dyDescent="0.2">
      <c r="B54" s="30"/>
      <c r="C54" s="18"/>
      <c r="E54" s="31"/>
      <c r="F54" s="18"/>
    </row>
    <row r="55" spans="2:48" outlineLevel="1" x14ac:dyDescent="0.2">
      <c r="B55" s="65"/>
      <c r="C55" s="66">
        <v>2021</v>
      </c>
      <c r="D55" s="66">
        <v>2022</v>
      </c>
      <c r="E55" s="66">
        <v>2023</v>
      </c>
      <c r="F55" s="66">
        <v>2024</v>
      </c>
      <c r="G55" s="66">
        <v>2025</v>
      </c>
      <c r="H55" s="66">
        <v>2026</v>
      </c>
      <c r="I55" s="66">
        <v>2027</v>
      </c>
      <c r="J55" s="66">
        <v>2028</v>
      </c>
      <c r="K55" s="66">
        <v>2029</v>
      </c>
      <c r="L55" s="66">
        <v>2030</v>
      </c>
      <c r="M55" s="66">
        <v>2031</v>
      </c>
      <c r="N55" s="66">
        <v>2032</v>
      </c>
      <c r="O55" s="66">
        <v>2033</v>
      </c>
      <c r="P55" s="66">
        <v>2034</v>
      </c>
      <c r="Q55" s="66">
        <v>2035</v>
      </c>
      <c r="R55" s="66">
        <v>2036</v>
      </c>
      <c r="S55" s="66">
        <v>2037</v>
      </c>
      <c r="T55" s="66">
        <v>2038</v>
      </c>
      <c r="U55" s="66">
        <v>2039</v>
      </c>
      <c r="V55" s="66">
        <v>2040</v>
      </c>
      <c r="W55" s="66">
        <v>2041</v>
      </c>
    </row>
    <row r="56" spans="2:48" ht="10.5" customHeight="1" outlineLevel="1" x14ac:dyDescent="0.2">
      <c r="B56" s="67" t="s">
        <v>73</v>
      </c>
      <c r="C56" s="32">
        <f>+'Input data'!C12</f>
        <v>43.287930000000003</v>
      </c>
      <c r="D56" s="32">
        <f>+C56+D57</f>
        <v>38.058251267161467</v>
      </c>
      <c r="E56" s="32">
        <f t="shared" ref="E56:T56" si="12">+D56+E57</f>
        <v>37.344895037084065</v>
      </c>
      <c r="F56" s="32">
        <f>+E56+F57</f>
        <v>38.25865969882279</v>
      </c>
      <c r="G56" s="32">
        <f>+F56+G57</f>
        <v>41.169692284568775</v>
      </c>
      <c r="H56" s="32">
        <f t="shared" si="12"/>
        <v>44.898871305828173</v>
      </c>
      <c r="I56" s="32">
        <f t="shared" si="12"/>
        <v>45.56165516321952</v>
      </c>
      <c r="J56" s="32">
        <f t="shared" si="12"/>
        <v>46.372782012656685</v>
      </c>
      <c r="K56" s="32">
        <f t="shared" si="12"/>
        <v>47.189767122817699</v>
      </c>
      <c r="L56" s="32">
        <f t="shared" si="12"/>
        <v>48.464223941053035</v>
      </c>
      <c r="M56" s="32">
        <f t="shared" si="12"/>
        <v>49.968835390399406</v>
      </c>
      <c r="N56" s="32">
        <f t="shared" si="12"/>
        <v>51.710401238870752</v>
      </c>
      <c r="O56" s="32">
        <f t="shared" si="12"/>
        <v>53.665481620441966</v>
      </c>
      <c r="P56" s="32">
        <f t="shared" si="12"/>
        <v>55.781555770909513</v>
      </c>
      <c r="Q56" s="32">
        <f t="shared" si="12"/>
        <v>58.13327288756998</v>
      </c>
      <c r="R56" s="32">
        <f>+Q56+R57</f>
        <v>60.699228545708458</v>
      </c>
      <c r="S56" s="32">
        <f t="shared" si="12"/>
        <v>63.440685448847447</v>
      </c>
      <c r="T56" s="32">
        <f t="shared" si="12"/>
        <v>66.369250960949017</v>
      </c>
      <c r="U56" s="32">
        <f t="shared" ref="U56" si="13">+T56+U57</f>
        <v>69.497185659012246</v>
      </c>
      <c r="V56" s="32">
        <f t="shared" ref="V56" si="14">+U56+V57</f>
        <v>72.826344790941533</v>
      </c>
      <c r="W56" s="32">
        <f t="shared" ref="W56" si="15">+V56+W57</f>
        <v>76.35085437978654</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8" t="s">
        <v>74</v>
      </c>
      <c r="C57" s="33"/>
      <c r="D57" s="33">
        <f>-D58+D66+D71</f>
        <v>-5.2296787328385381</v>
      </c>
      <c r="E57" s="33">
        <f t="shared" ref="E57:T57" si="16">-E58+E66+E71</f>
        <v>-0.7133562300773999</v>
      </c>
      <c r="F57" s="33">
        <f>-F58+F66+F71</f>
        <v>0.91376466173872706</v>
      </c>
      <c r="G57" s="33">
        <f>-G58+G66+G71</f>
        <v>2.9110325857459847</v>
      </c>
      <c r="H57" s="33">
        <f t="shared" si="16"/>
        <v>3.7291790212593949</v>
      </c>
      <c r="I57" s="33">
        <f t="shared" si="16"/>
        <v>0.6627838573913486</v>
      </c>
      <c r="J57" s="33">
        <f t="shared" si="16"/>
        <v>0.81112684943716751</v>
      </c>
      <c r="K57" s="33">
        <f t="shared" si="16"/>
        <v>0.81698511016101327</v>
      </c>
      <c r="L57" s="33">
        <f t="shared" si="16"/>
        <v>1.274456818235338</v>
      </c>
      <c r="M57" s="33">
        <f t="shared" si="16"/>
        <v>1.5046114493463705</v>
      </c>
      <c r="N57" s="33">
        <f t="shared" si="16"/>
        <v>1.7415658484713461</v>
      </c>
      <c r="O57" s="33">
        <f t="shared" si="16"/>
        <v>1.955080381571211</v>
      </c>
      <c r="P57" s="33">
        <f t="shared" si="16"/>
        <v>2.1160741504675458</v>
      </c>
      <c r="Q57" s="33">
        <f t="shared" si="16"/>
        <v>2.3517171166604678</v>
      </c>
      <c r="R57" s="33">
        <f>-R58+R66+R71</f>
        <v>2.5659556581384808</v>
      </c>
      <c r="S57" s="33">
        <f t="shared" si="16"/>
        <v>2.7414569031389875</v>
      </c>
      <c r="T57" s="33">
        <f t="shared" si="16"/>
        <v>2.928565512101569</v>
      </c>
      <c r="U57" s="33">
        <f t="shared" ref="U57:W57" si="17">-U58+U66+U71</f>
        <v>3.1279346980632345</v>
      </c>
      <c r="V57" s="33">
        <f t="shared" si="17"/>
        <v>3.3291591319292837</v>
      </c>
      <c r="W57" s="33">
        <f t="shared" si="17"/>
        <v>3.524509588845004</v>
      </c>
    </row>
    <row r="58" spans="2:48" outlineLevel="1" x14ac:dyDescent="0.2">
      <c r="B58" s="64" t="s">
        <v>75</v>
      </c>
      <c r="C58" s="34"/>
      <c r="D58" s="34">
        <f>D59+D60-D61-D62-D63-D64-D65</f>
        <v>-0.37224146716146173</v>
      </c>
      <c r="E58" s="34">
        <f>E59+E60-E61-E62-E63-E64-E65</f>
        <v>-9.8784769922599977E-2</v>
      </c>
      <c r="F58" s="34">
        <f>F59+F60-F61-F62-F63-F64-F65</f>
        <v>-1.2530012617387272</v>
      </c>
      <c r="G58" s="34">
        <f t="shared" ref="G58:T58" si="18">G59+G60-G61-G62-G63-G64-G65</f>
        <v>-1.529175585745985</v>
      </c>
      <c r="H58" s="34">
        <f t="shared" si="18"/>
        <v>-1.5105416175173898</v>
      </c>
      <c r="I58" s="34">
        <f t="shared" si="18"/>
        <v>-1.4868163733799811</v>
      </c>
      <c r="J58" s="34">
        <f t="shared" si="18"/>
        <v>-1.4842838112705703</v>
      </c>
      <c r="K58" s="34">
        <f t="shared" si="18"/>
        <v>-1.4806389552701771</v>
      </c>
      <c r="L58" s="34">
        <f t="shared" si="18"/>
        <v>-1.6642804476770587</v>
      </c>
      <c r="M58" s="34">
        <f t="shared" si="18"/>
        <v>-1.8553827255282913</v>
      </c>
      <c r="N58" s="34">
        <f t="shared" si="18"/>
        <v>-2.0511534327125283</v>
      </c>
      <c r="O58" s="34">
        <f t="shared" si="18"/>
        <v>-2.2437234542253099</v>
      </c>
      <c r="P58" s="34">
        <f t="shared" si="18"/>
        <v>-2.4092749468590435</v>
      </c>
      <c r="Q58" s="34">
        <f t="shared" si="18"/>
        <v>-2.5780864397126027</v>
      </c>
      <c r="R58" s="34">
        <f t="shared" si="18"/>
        <v>-2.7253775397126012</v>
      </c>
      <c r="S58" s="34">
        <f t="shared" si="18"/>
        <v>-2.8328591330065414</v>
      </c>
      <c r="T58" s="34">
        <f t="shared" si="18"/>
        <v>-2.9358294458006444</v>
      </c>
      <c r="U58" s="34">
        <f t="shared" ref="U58:W58" si="19">U59+U60-U61-U62-U63-U64-U65</f>
        <v>-3.0381916276959409</v>
      </c>
      <c r="V58" s="34">
        <f t="shared" si="19"/>
        <v>-3.12462282769595</v>
      </c>
      <c r="W58" s="34">
        <f t="shared" si="19"/>
        <v>-3.2256639276959391</v>
      </c>
    </row>
    <row r="59" spans="2:48" outlineLevel="1" x14ac:dyDescent="0.2">
      <c r="B59" s="63" t="s">
        <v>76</v>
      </c>
      <c r="C59" s="1"/>
      <c r="D59" s="1">
        <f>D12</f>
        <v>-0.89109400000000005</v>
      </c>
      <c r="E59" s="1">
        <f>E12</f>
        <v>0.7080978</v>
      </c>
      <c r="F59" s="1">
        <f>F12</f>
        <v>-0.36979909999999999</v>
      </c>
      <c r="G59" s="1">
        <f t="shared" ref="G59:W59" si="20">IF(G12="",F59,G12)</f>
        <v>-0.36979909999999999</v>
      </c>
      <c r="H59" s="1">
        <f>IF(H12="",G59,H12)</f>
        <v>-0.36979909999999999</v>
      </c>
      <c r="I59" s="1">
        <f t="shared" si="20"/>
        <v>-0.36979909999999999</v>
      </c>
      <c r="J59" s="1">
        <f t="shared" si="20"/>
        <v>-0.36979909999999999</v>
      </c>
      <c r="K59" s="1">
        <f t="shared" si="20"/>
        <v>-0.36979909999999999</v>
      </c>
      <c r="L59" s="1">
        <f t="shared" si="20"/>
        <v>-0.36979909999999999</v>
      </c>
      <c r="M59" s="1">
        <f t="shared" si="20"/>
        <v>-0.36979909999999999</v>
      </c>
      <c r="N59" s="1">
        <f t="shared" si="20"/>
        <v>-0.36979909999999999</v>
      </c>
      <c r="O59" s="1">
        <f t="shared" si="20"/>
        <v>-0.36979909999999999</v>
      </c>
      <c r="P59" s="1">
        <f t="shared" si="20"/>
        <v>-0.36979909999999999</v>
      </c>
      <c r="Q59" s="1">
        <f t="shared" si="20"/>
        <v>-0.36979909999999999</v>
      </c>
      <c r="R59" s="1">
        <f t="shared" si="20"/>
        <v>-0.36979909999999999</v>
      </c>
      <c r="S59" s="1">
        <f t="shared" si="20"/>
        <v>-0.36979909999999999</v>
      </c>
      <c r="T59" s="1">
        <f t="shared" si="20"/>
        <v>-0.36979909999999999</v>
      </c>
      <c r="U59" s="1">
        <f t="shared" si="20"/>
        <v>-0.36979909999999999</v>
      </c>
      <c r="V59" s="1">
        <f t="shared" si="20"/>
        <v>-0.36979909999999999</v>
      </c>
      <c r="W59" s="1">
        <f t="shared" si="20"/>
        <v>-0.36979909999999999</v>
      </c>
    </row>
    <row r="60" spans="2:48" outlineLevel="1" x14ac:dyDescent="0.2">
      <c r="B60" s="63" t="s">
        <v>77</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3" t="s">
        <v>78</v>
      </c>
      <c r="C61" s="1"/>
      <c r="D61" s="1">
        <f t="shared" ref="D61:W61" si="21">-$C$47*D29</f>
        <v>-0.35859863283853832</v>
      </c>
      <c r="E61" s="1">
        <f t="shared" si="21"/>
        <v>0.81013486992259998</v>
      </c>
      <c r="F61" s="1">
        <f t="shared" si="21"/>
        <v>0.88576236173872713</v>
      </c>
      <c r="G61" s="1">
        <f t="shared" si="21"/>
        <v>0.81115718574598361</v>
      </c>
      <c r="H61" s="1">
        <f>-$C$47*H29</f>
        <v>0.54864851751738741</v>
      </c>
      <c r="I61" s="1">
        <f t="shared" si="21"/>
        <v>0.36576387337997956</v>
      </c>
      <c r="J61" s="1">
        <f>-$C$47*J29</f>
        <v>0.18288021127056769</v>
      </c>
      <c r="K61" s="1">
        <f t="shared" si="21"/>
        <v>-5.8447298257879865E-6</v>
      </c>
      <c r="L61" s="1">
        <f t="shared" si="21"/>
        <v>-5.4523229414016329E-6</v>
      </c>
      <c r="M61" s="1">
        <f t="shared" si="21"/>
        <v>-4.2744717076548254E-6</v>
      </c>
      <c r="N61" s="1">
        <f t="shared" si="21"/>
        <v>-4.6672874705055989E-6</v>
      </c>
      <c r="O61" s="1">
        <f t="shared" si="21"/>
        <v>-5.8457746891837917E-6</v>
      </c>
      <c r="P61" s="1">
        <f t="shared" si="21"/>
        <v>-5.4531409552582849E-6</v>
      </c>
      <c r="Q61" s="1">
        <f t="shared" si="21"/>
        <v>-5.0602873974403551E-6</v>
      </c>
      <c r="R61" s="1">
        <f t="shared" si="21"/>
        <v>-5.0602873974403551E-6</v>
      </c>
      <c r="S61" s="1">
        <f t="shared" si="21"/>
        <v>-4.6669934564924636E-6</v>
      </c>
      <c r="T61" s="1">
        <f t="shared" si="21"/>
        <v>-5.4541993560919268E-6</v>
      </c>
      <c r="U61" s="1">
        <f t="shared" si="21"/>
        <v>-4.2723040608594332E-6</v>
      </c>
      <c r="V61" s="1">
        <f t="shared" si="21"/>
        <v>-4.2723040519998539E-6</v>
      </c>
      <c r="W61" s="1">
        <f t="shared" si="21"/>
        <v>-4.2723040608594332E-6</v>
      </c>
    </row>
    <row r="62" spans="2:48" outlineLevel="1" x14ac:dyDescent="0.2">
      <c r="B62" s="63" t="s">
        <v>79</v>
      </c>
      <c r="C62" s="1"/>
      <c r="D62" s="1">
        <f t="shared" ref="D62:W62" si="22">-D13</f>
        <v>-0.1602539</v>
      </c>
      <c r="E62" s="1">
        <f t="shared" si="22"/>
        <v>-3.2523000000000001E-3</v>
      </c>
      <c r="F62" s="1">
        <f t="shared" si="22"/>
        <v>-2.5601999999999999E-3</v>
      </c>
      <c r="G62" s="1">
        <f t="shared" si="22"/>
        <v>-1.5619E-3</v>
      </c>
      <c r="H62" s="1">
        <f>-H13</f>
        <v>-3.3098299999999997E-2</v>
      </c>
      <c r="I62" s="1">
        <f t="shared" si="22"/>
        <v>0</v>
      </c>
      <c r="J62" s="1">
        <f t="shared" si="22"/>
        <v>0</v>
      </c>
      <c r="K62" s="1">
        <f t="shared" si="22"/>
        <v>0</v>
      </c>
      <c r="L62" s="1">
        <f t="shared" si="22"/>
        <v>0</v>
      </c>
      <c r="M62" s="1">
        <f t="shared" si="22"/>
        <v>0</v>
      </c>
      <c r="N62" s="1">
        <f t="shared" si="22"/>
        <v>0</v>
      </c>
      <c r="O62" s="1">
        <f t="shared" si="22"/>
        <v>0</v>
      </c>
      <c r="P62" s="1">
        <f t="shared" si="22"/>
        <v>0</v>
      </c>
      <c r="Q62" s="1">
        <f t="shared" si="22"/>
        <v>0</v>
      </c>
      <c r="R62" s="1">
        <f t="shared" si="22"/>
        <v>0</v>
      </c>
      <c r="S62" s="1">
        <f t="shared" si="22"/>
        <v>0</v>
      </c>
      <c r="T62" s="1">
        <f t="shared" si="22"/>
        <v>0</v>
      </c>
      <c r="U62" s="1">
        <f t="shared" si="22"/>
        <v>0</v>
      </c>
      <c r="V62" s="1">
        <f t="shared" si="22"/>
        <v>0</v>
      </c>
      <c r="W62" s="1">
        <f t="shared" si="22"/>
        <v>0</v>
      </c>
    </row>
    <row r="63" spans="2:48" outlineLevel="1" x14ac:dyDescent="0.2">
      <c r="B63" s="63" t="s">
        <v>80</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0.34386000000000116</v>
      </c>
      <c r="H63" s="1">
        <f>IF(H$55&lt;=$C$5,0,HLOOKUP(H$55,'Input data'!$C$9:$BB$26,12,FALSE)-HLOOKUP($C$5,'Input data'!$C$9:$BB$26,12,FALSE))</f>
        <v>0.61335000000000228</v>
      </c>
      <c r="I63" s="1">
        <f>IF(I$55&lt;=$C$5,0,HLOOKUP(I$55,'Input data'!$C$9:$BB$26,12,FALSE)-HLOOKUP($C$5,'Input data'!$C$9:$BB$26,12,FALSE))</f>
        <v>0.73349000000000153</v>
      </c>
      <c r="J63" s="1">
        <f>IF(J$55&lt;=$C$5,0,HLOOKUP(J$55,'Input data'!$C$9:$BB$26,12,FALSE)-HLOOKUP($C$5,'Input data'!$C$9:$BB$26,12,FALSE))</f>
        <v>0.9079200000000025</v>
      </c>
      <c r="K63" s="1">
        <f>IF(K$55&lt;=$C$5,0,HLOOKUP(K$55,'Input data'!$C$9:$BB$26,12,FALSE)-HLOOKUP($C$5,'Input data'!$C$9:$BB$26,12,FALSE))</f>
        <v>1.0812400000000029</v>
      </c>
      <c r="L63" s="1">
        <f>IF(L$55&lt;=$C$5,0,HLOOKUP(L$55,'Input data'!$C$9:$BB$26,12,FALSE)-HLOOKUP($C$5,'Input data'!$C$9:$BB$26,12,FALSE))</f>
        <v>1.2589600000000001</v>
      </c>
      <c r="M63" s="1">
        <f>IF(M$55&lt;=$C$5,0,HLOOKUP(M$55,'Input data'!$C$9:$BB$26,12,FALSE)-HLOOKUP($C$5,'Input data'!$C$9:$BB$26,12,FALSE))</f>
        <v>1.4441399999999991</v>
      </c>
      <c r="N63" s="1">
        <f>IF(N$55&lt;=$C$5,0,HLOOKUP(N$55,'Input data'!$C$9:$BB$26,12,FALSE)-HLOOKUP($C$5,'Input data'!$C$9:$BB$26,12,FALSE))</f>
        <v>1.6339899999999989</v>
      </c>
      <c r="O63" s="1">
        <f>IF(O$55&lt;=$C$5,0,HLOOKUP(O$55,'Input data'!$C$9:$BB$26,12,FALSE)-HLOOKUP($C$5,'Input data'!$C$9:$BB$26,12,FALSE))</f>
        <v>1.8206399999999991</v>
      </c>
      <c r="P63" s="1">
        <f>IF(P$55&lt;=$C$5,0,HLOOKUP(P$55,'Input data'!$C$9:$BB$26,12,FALSE)-HLOOKUP($C$5,'Input data'!$C$9:$BB$26,12,FALSE))</f>
        <v>1.9802699999999991</v>
      </c>
      <c r="Q63" s="1">
        <f>IF(Q$55&lt;=$C$5,0,HLOOKUP(Q$55,'Input data'!$C$9:$BB$26,12,FALSE)-HLOOKUP($C$5,'Input data'!$C$9:$BB$26,12,FALSE))</f>
        <v>2.14316</v>
      </c>
      <c r="R63" s="1">
        <f>IF(R$55&lt;=$C$5,0,HLOOKUP(R$55,'Input data'!$C$9:$BB$26,12,FALSE)-HLOOKUP($C$5,'Input data'!$C$9:$BB$26,12,FALSE))</f>
        <v>2.2845299999999984</v>
      </c>
      <c r="S63" s="1">
        <f>IF(S$55&lt;=$C$5,0,HLOOKUP(S$55,'Input data'!$C$9:$BB$26,12,FALSE)-HLOOKUP($C$5,'Input data'!$C$9:$BB$26,12,FALSE))</f>
        <v>2.3860899999999976</v>
      </c>
      <c r="T63" s="1">
        <f>IF(T$55&lt;=$C$5,0,HLOOKUP(T$55,'Input data'!$C$9:$BB$26,12,FALSE)-HLOOKUP($C$5,'Input data'!$C$9:$BB$26,12,FALSE))</f>
        <v>2.4831400000000006</v>
      </c>
      <c r="U63" s="1">
        <f>IF(U$55&lt;=$C$5,0,HLOOKUP(U$55,'Input data'!$C$9:$BB$26,12,FALSE)-HLOOKUP($C$5,'Input data'!$C$9:$BB$26,12,FALSE))</f>
        <v>2.5795800000000018</v>
      </c>
      <c r="V63" s="1">
        <f>IF(V$55&lt;=$C$5,0,HLOOKUP(V$55,'Input data'!$C$9:$BB$26,12,FALSE)-HLOOKUP($C$5,'Input data'!$C$9:$BB$26,12,FALSE))</f>
        <v>2.6600900000000021</v>
      </c>
      <c r="W63" s="1">
        <f>IF(W$55&lt;=$C$5,0,HLOOKUP(W$55,'Input data'!$C$9:$BB$26,12,FALSE)-HLOOKUP($C$5,'Input data'!$C$9:$BB$26,12,FALSE))</f>
        <v>2.7552099999999999</v>
      </c>
    </row>
    <row r="64" spans="2:48" outlineLevel="1" x14ac:dyDescent="0.2">
      <c r="B64" s="63" t="s">
        <v>81</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5.9212000000000709E-3</v>
      </c>
      <c r="H64" s="1">
        <f>IF(H$55&lt;=$C$5,0,-HLOOKUP(H$55,'Input data'!$C$9:$BB$26,18,FALSE)+HLOOKUP($C$5,'Input data'!$C$9:$BB$26,18,FALSE))</f>
        <v>1.1842300000000083E-2</v>
      </c>
      <c r="I64" s="1">
        <f>IF(I$55&lt;=$C$5,0,-HLOOKUP(I$55,'Input data'!$C$9:$BB$26,18,FALSE)+HLOOKUP($C$5,'Input data'!$C$9:$BB$26,18,FALSE))</f>
        <v>1.7763399999999985E-2</v>
      </c>
      <c r="J64" s="1">
        <f>IF(J$55&lt;=$C$5,0,-HLOOKUP(J$55,'Input data'!$C$9:$BB$26,18,FALSE)+HLOOKUP($C$5,'Input data'!$C$9:$BB$26,18,FALSE))</f>
        <v>2.3684499999999997E-2</v>
      </c>
      <c r="K64" s="1">
        <f>IF(K$55&lt;=$C$5,0,-HLOOKUP(K$55,'Input data'!$C$9:$BB$26,18,FALSE)+HLOOKUP($C$5,'Input data'!$C$9:$BB$26,18,FALSE))</f>
        <v>2.9605700000000068E-2</v>
      </c>
      <c r="L64" s="1">
        <f>IF(L$55&lt;=$C$5,0,-HLOOKUP(L$55,'Input data'!$C$9:$BB$26,18,FALSE)+HLOOKUP($C$5,'Input data'!$C$9:$BB$26,18,FALSE))</f>
        <v>3.5526800000000081E-2</v>
      </c>
      <c r="M64" s="1">
        <f>IF(M$55&lt;=$C$5,0,-HLOOKUP(M$55,'Input data'!$C$9:$BB$26,18,FALSE)+HLOOKUP($C$5,'Input data'!$C$9:$BB$26,18,FALSE))</f>
        <v>4.1447899999999982E-2</v>
      </c>
      <c r="N64" s="1">
        <f>IF(N$55&lt;=$C$5,0,-HLOOKUP(N$55,'Input data'!$C$9:$BB$26,18,FALSE)+HLOOKUP($C$5,'Input data'!$C$9:$BB$26,18,FALSE))</f>
        <v>4.7368999999999994E-2</v>
      </c>
      <c r="O64" s="1">
        <f>IF(O$55&lt;=$C$5,0,-HLOOKUP(O$55,'Input data'!$C$9:$BB$26,18,FALSE)+HLOOKUP($C$5,'Input data'!$C$9:$BB$26,18,FALSE))</f>
        <v>5.3290200000000065E-2</v>
      </c>
      <c r="P64" s="1">
        <f>IF(P$55&lt;=$C$5,0,-HLOOKUP(P$55,'Input data'!$C$9:$BB$26,18,FALSE)+HLOOKUP($C$5,'Input data'!$C$9:$BB$26,18,FALSE))</f>
        <v>5.9211300000000078E-2</v>
      </c>
      <c r="Q64" s="1">
        <f>IF(Q$55&lt;=$C$5,0,-HLOOKUP(Q$55,'Input data'!$C$9:$BB$26,18,FALSE)+HLOOKUP($C$5,'Input data'!$C$9:$BB$26,18,FALSE))</f>
        <v>6.5132399999999979E-2</v>
      </c>
      <c r="R64" s="1">
        <f>IF(R$55&lt;=$C$5,0,-HLOOKUP(R$55,'Input data'!$C$9:$BB$26,18,FALSE)+HLOOKUP($C$5,'Input data'!$C$9:$BB$26,18,FALSE))</f>
        <v>7.1053499999999992E-2</v>
      </c>
      <c r="S64" s="1">
        <f>IF(S$55&lt;=$C$5,0,-HLOOKUP(S$55,'Input data'!$C$9:$BB$26,18,FALSE)+HLOOKUP($C$5,'Input data'!$C$9:$BB$26,18,FALSE))</f>
        <v>7.6974700000000063E-2</v>
      </c>
      <c r="T64" s="1">
        <f>IF(T$55&lt;=$C$5,0,-HLOOKUP(T$55,'Input data'!$C$9:$BB$26,18,FALSE)+HLOOKUP($C$5,'Input data'!$C$9:$BB$26,18,FALSE))</f>
        <v>8.2895800000000075E-2</v>
      </c>
      <c r="U64" s="1">
        <f>IF(U$55&lt;=$C$5,0,-HLOOKUP(U$55,'Input data'!$C$9:$BB$26,18,FALSE)+HLOOKUP($C$5,'Input data'!$C$9:$BB$26,18,FALSE))</f>
        <v>8.8816800000000029E-2</v>
      </c>
      <c r="V64" s="1">
        <f>IF(V$55&lt;=$C$5,0,-HLOOKUP(V$55,'Input data'!$C$9:$BB$26,18,FALSE)+HLOOKUP($C$5,'Input data'!$C$9:$BB$26,18,FALSE))</f>
        <v>9.4737999999999989E-2</v>
      </c>
      <c r="W64" s="1">
        <f>IF(W$55&lt;=$C$5,0,-HLOOKUP(W$55,'Input data'!$C$9:$BB$26,18,FALSE)+HLOOKUP($C$5,'Input data'!$C$9:$BB$26,18,FALSE))</f>
        <v>0.1006591</v>
      </c>
    </row>
    <row r="65" spans="2:23" outlineLevel="1" x14ac:dyDescent="0.2">
      <c r="B65" s="63" t="s">
        <v>82</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4" t="s">
        <v>83</v>
      </c>
      <c r="C66" s="34"/>
      <c r="D66" s="34">
        <f>SUM(D67:D70)</f>
        <v>-6.5808179999999998</v>
      </c>
      <c r="E66" s="34">
        <f t="shared" ref="E66:T66" si="23">SUM(E67:E70)</f>
        <v>-2.677216</v>
      </c>
      <c r="F66" s="34">
        <f t="shared" si="23"/>
        <v>-1.2856380000000001</v>
      </c>
      <c r="G66" s="34">
        <f>SUM(G67:G70)</f>
        <v>-1.3356429999999999</v>
      </c>
      <c r="H66" s="34">
        <f t="shared" si="23"/>
        <v>-0.85436259625799493</v>
      </c>
      <c r="I66" s="34">
        <f t="shared" si="23"/>
        <v>-0.82403251598863247</v>
      </c>
      <c r="J66" s="34">
        <f t="shared" si="23"/>
        <v>-0.67315696183340279</v>
      </c>
      <c r="K66" s="34">
        <f t="shared" si="23"/>
        <v>-0.66365384510916381</v>
      </c>
      <c r="L66" s="34">
        <f t="shared" si="23"/>
        <v>-0.38982362944172066</v>
      </c>
      <c r="M66" s="34">
        <f t="shared" si="23"/>
        <v>-0.35077127618192072</v>
      </c>
      <c r="N66" s="34">
        <f t="shared" si="23"/>
        <v>-0.30958758424118216</v>
      </c>
      <c r="O66" s="34">
        <f t="shared" si="23"/>
        <v>-0.28864307265409894</v>
      </c>
      <c r="P66" s="34">
        <f t="shared" si="23"/>
        <v>-0.29320079639149788</v>
      </c>
      <c r="Q66" s="34">
        <f t="shared" si="23"/>
        <v>-0.22636932305213464</v>
      </c>
      <c r="R66" s="34">
        <f t="shared" si="23"/>
        <v>-0.15942188157412041</v>
      </c>
      <c r="S66" s="34">
        <f t="shared" si="23"/>
        <v>-9.1402229867553864E-2</v>
      </c>
      <c r="T66" s="34">
        <f t="shared" si="23"/>
        <v>-7.2639336990751868E-3</v>
      </c>
      <c r="U66" s="34">
        <f t="shared" ref="U66:W66" si="24">SUM(U67:U70)</f>
        <v>8.9743070367293676E-2</v>
      </c>
      <c r="V66" s="34">
        <f t="shared" si="24"/>
        <v>0.20453630423333369</v>
      </c>
      <c r="W66" s="34">
        <f t="shared" si="24"/>
        <v>0.29884566114906508</v>
      </c>
    </row>
    <row r="67" spans="2:23" outlineLevel="1" x14ac:dyDescent="0.2">
      <c r="B67" s="63" t="s">
        <v>84</v>
      </c>
      <c r="C67" s="23"/>
      <c r="D67" s="23">
        <f t="shared" ref="D67:W67" si="25">C56*D35/100*(1/(1+D32/100))</f>
        <v>0.33429464897585787</v>
      </c>
      <c r="E67" s="23">
        <f t="shared" si="25"/>
        <v>0.59124962330069897</v>
      </c>
      <c r="F67" s="23">
        <f t="shared" si="25"/>
        <v>0.78192213335374294</v>
      </c>
      <c r="G67" s="23">
        <f>F56*G35/100*(1/(1+G32/100))</f>
        <v>0.91978291732935979</v>
      </c>
      <c r="H67" s="23">
        <f>G56*H35/100*(1/(1+H32/100))</f>
        <v>1.1336269649459174</v>
      </c>
      <c r="I67" s="23">
        <f t="shared" si="25"/>
        <v>1.267360057846223</v>
      </c>
      <c r="J67" s="23">
        <f t="shared" si="25"/>
        <v>1.312974735064826</v>
      </c>
      <c r="K67" s="23">
        <f t="shared" si="25"/>
        <v>1.3622563349985088</v>
      </c>
      <c r="L67" s="23">
        <f t="shared" si="25"/>
        <v>1.4228971009635512</v>
      </c>
      <c r="M67" s="23">
        <f t="shared" si="25"/>
        <v>1.4943325309431068</v>
      </c>
      <c r="N67" s="23">
        <f t="shared" si="25"/>
        <v>1.5771275036123935</v>
      </c>
      <c r="O67" s="23">
        <f t="shared" si="25"/>
        <v>1.6710983702219211</v>
      </c>
      <c r="P67" s="23">
        <f t="shared" si="25"/>
        <v>1.7755910981569774</v>
      </c>
      <c r="Q67" s="23">
        <f t="shared" si="25"/>
        <v>1.8847930292259247</v>
      </c>
      <c r="R67" s="23">
        <f t="shared" si="25"/>
        <v>1.9998413544702616</v>
      </c>
      <c r="S67" s="23">
        <f t="shared" si="25"/>
        <v>2.1204061600254889</v>
      </c>
      <c r="T67" s="23">
        <f t="shared" si="25"/>
        <v>2.2459461813307819</v>
      </c>
      <c r="U67" s="23">
        <f t="shared" si="25"/>
        <v>2.377102692297699</v>
      </c>
      <c r="V67" s="23">
        <f t="shared" si="25"/>
        <v>2.5148103023243409</v>
      </c>
      <c r="W67" s="23">
        <f t="shared" si="25"/>
        <v>2.6580092932940382</v>
      </c>
    </row>
    <row r="68" spans="2:23" outlineLevel="1" x14ac:dyDescent="0.2">
      <c r="B68" s="63" t="s">
        <v>85</v>
      </c>
      <c r="C68" s="23"/>
      <c r="D68" s="23">
        <f t="shared" ref="D68:W68" si="26">-C56*(D23/100)*(1/(1+D32/100))</f>
        <v>-0.92296927165233233</v>
      </c>
      <c r="E68" s="23">
        <f t="shared" si="26"/>
        <v>-0.1190757993807937</v>
      </c>
      <c r="F68" s="23">
        <f t="shared" si="26"/>
        <v>-0.76472937130044816</v>
      </c>
      <c r="G68" s="23">
        <f t="shared" si="26"/>
        <v>-0.97137555263788344</v>
      </c>
      <c r="H68" s="23">
        <f t="shared" si="26"/>
        <v>-1.1006802465769214</v>
      </c>
      <c r="I68" s="23">
        <f t="shared" si="26"/>
        <v>-1.1157983368887716</v>
      </c>
      <c r="J68" s="23">
        <f t="shared" si="26"/>
        <v>-0.98811029077284307</v>
      </c>
      <c r="K68" s="23">
        <f t="shared" si="26"/>
        <v>-1.0019554834358795</v>
      </c>
      <c r="L68" s="23">
        <f t="shared" si="26"/>
        <v>-0.7624196882397466</v>
      </c>
      <c r="M68" s="23">
        <f t="shared" si="26"/>
        <v>-0.7579094131949321</v>
      </c>
      <c r="N68" s="23">
        <f t="shared" si="26"/>
        <v>-0.75697845687711518</v>
      </c>
      <c r="O68" s="23">
        <f t="shared" si="26"/>
        <v>-0.78153759229466302</v>
      </c>
      <c r="P68" s="23">
        <f t="shared" si="26"/>
        <v>-0.83660936589152735</v>
      </c>
      <c r="Q68" s="23">
        <f t="shared" si="26"/>
        <v>-0.83971409453348711</v>
      </c>
      <c r="R68" s="23">
        <f t="shared" si="26"/>
        <v>-0.84392797987740253</v>
      </c>
      <c r="S68" s="23">
        <f t="shared" si="26"/>
        <v>-0.84856415045644651</v>
      </c>
      <c r="T68" s="23">
        <f t="shared" si="26"/>
        <v>-0.83900633302582683</v>
      </c>
      <c r="U68" s="23">
        <f t="shared" si="26"/>
        <v>-0.81897746523418558</v>
      </c>
      <c r="V68" s="23">
        <f t="shared" si="26"/>
        <v>-0.78431985065609622</v>
      </c>
      <c r="W68" s="23">
        <f t="shared" si="26"/>
        <v>-0.77230409804874378</v>
      </c>
    </row>
    <row r="69" spans="2:23" outlineLevel="1" x14ac:dyDescent="0.2">
      <c r="B69" s="63" t="s">
        <v>86</v>
      </c>
      <c r="C69" s="23"/>
      <c r="D69" s="23">
        <f>-C56*D41/100*(1/(1+D41/100))</f>
        <v>-5.9921458141169879</v>
      </c>
      <c r="E69" s="23">
        <f t="shared" ref="E69:T69" si="27">-D56*E41/100*(1/(1+E41/100))</f>
        <v>-3.1493898553330193</v>
      </c>
      <c r="F69" s="23">
        <f>-E56*F41/100*(1/(1+F41/100))</f>
        <v>-1.3028305268825107</v>
      </c>
      <c r="G69" s="23">
        <f>-F56*G41/100*(1/(1+G41/100))</f>
        <v>-1.2840494577525556</v>
      </c>
      <c r="H69" s="23">
        <f t="shared" si="27"/>
        <v>-0.88730931462699092</v>
      </c>
      <c r="I69" s="23">
        <f t="shared" si="27"/>
        <v>-0.97559423694608383</v>
      </c>
      <c r="J69" s="23">
        <f t="shared" si="27"/>
        <v>-0.9980214061253857</v>
      </c>
      <c r="K69" s="23">
        <f t="shared" si="27"/>
        <v>-1.0239546966717932</v>
      </c>
      <c r="L69" s="23">
        <f t="shared" si="27"/>
        <v>-1.0503010421655252</v>
      </c>
      <c r="M69" s="23">
        <f t="shared" si="27"/>
        <v>-1.0871943939300954</v>
      </c>
      <c r="N69" s="23">
        <f t="shared" si="27"/>
        <v>-1.1297366309764605</v>
      </c>
      <c r="O69" s="23">
        <f t="shared" si="27"/>
        <v>-1.178203850581357</v>
      </c>
      <c r="P69" s="23">
        <f t="shared" si="27"/>
        <v>-1.2321825286569479</v>
      </c>
      <c r="Q69" s="23">
        <f t="shared" si="27"/>
        <v>-1.2714482577445723</v>
      </c>
      <c r="R69" s="23">
        <f t="shared" si="27"/>
        <v>-1.3153352561669793</v>
      </c>
      <c r="S69" s="23">
        <f t="shared" si="27"/>
        <v>-1.3632442394365962</v>
      </c>
      <c r="T69" s="23">
        <f t="shared" si="27"/>
        <v>-1.4142037820040303</v>
      </c>
      <c r="U69" s="23">
        <f t="shared" ref="U69" si="28">-T56*U41/100*(1/(1+U41/100))</f>
        <v>-1.4683821566962196</v>
      </c>
      <c r="V69" s="23">
        <f t="shared" ref="V69" si="29">-U56*V41/100*(1/(1+V41/100))</f>
        <v>-1.525954147434911</v>
      </c>
      <c r="W69" s="23">
        <f t="shared" ref="W69" si="30">-V56*W41/100*(1/(1+W41/100))</f>
        <v>-1.5868595340962293</v>
      </c>
    </row>
    <row r="70" spans="2:23" outlineLevel="1" x14ac:dyDescent="0.2">
      <c r="B70" s="63" t="s">
        <v>87</v>
      </c>
      <c r="C70" s="35"/>
      <c r="D70" s="35">
        <v>2.4367934630120658E-6</v>
      </c>
      <c r="E70" s="35">
        <v>3.1413113887879263E-8</v>
      </c>
      <c r="F70" s="35">
        <v>-2.3517078417967241E-7</v>
      </c>
      <c r="G70" s="35">
        <v>-9.0693892063065107E-7</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4" t="s">
        <v>88</v>
      </c>
      <c r="C71" s="36"/>
      <c r="D71" s="36">
        <f>'Input data'!D16</f>
        <v>0.97889780000000004</v>
      </c>
      <c r="E71" s="36">
        <f>'Input data'!E16</f>
        <v>1.865075</v>
      </c>
      <c r="F71" s="36">
        <f>'Input data'!F16</f>
        <v>0.94640139999999995</v>
      </c>
      <c r="G71" s="36">
        <f>'Input data'!G16</f>
        <v>2.7174999999999998</v>
      </c>
      <c r="H71" s="36">
        <f>'Input data'!H16</f>
        <v>3.073</v>
      </c>
      <c r="I71" s="36">
        <f>'Input data'!I16</f>
        <v>0</v>
      </c>
      <c r="J71" s="36">
        <f>'Input data'!J16</f>
        <v>0</v>
      </c>
      <c r="K71" s="36">
        <f>'Input data'!K16</f>
        <v>0</v>
      </c>
      <c r="L71" s="36">
        <f>'Input data'!L16</f>
        <v>0</v>
      </c>
      <c r="M71" s="36">
        <f>'Input data'!M16</f>
        <v>0</v>
      </c>
      <c r="N71" s="36">
        <f>'Input data'!N16</f>
        <v>0</v>
      </c>
      <c r="O71" s="36">
        <f>'Input data'!O16</f>
        <v>0</v>
      </c>
      <c r="P71" s="36">
        <f>'Input data'!P16</f>
        <v>0</v>
      </c>
      <c r="Q71" s="36">
        <f>'Input data'!Q16</f>
        <v>0</v>
      </c>
      <c r="R71" s="36">
        <f>'Input data'!R16</f>
        <v>0</v>
      </c>
      <c r="S71" s="36">
        <f>'Input data'!S16</f>
        <v>0</v>
      </c>
      <c r="T71" s="36">
        <f>'Input data'!T16</f>
        <v>0</v>
      </c>
      <c r="U71" s="36">
        <f>'Input data'!U16</f>
        <v>0</v>
      </c>
      <c r="V71" s="36">
        <f>'Input data'!V16</f>
        <v>0</v>
      </c>
      <c r="W71" s="36">
        <f>'Input data'!W16</f>
        <v>0</v>
      </c>
    </row>
    <row r="72" spans="2:23" outlineLevel="1" x14ac:dyDescent="0.2">
      <c r="B72" s="63" t="s">
        <v>89</v>
      </c>
      <c r="C72" s="23"/>
      <c r="D72" s="23">
        <f t="shared" ref="D72:W72" si="31">D14</f>
        <v>0.97889720000000002</v>
      </c>
      <c r="E72" s="23">
        <f t="shared" si="31"/>
        <v>1.865075</v>
      </c>
      <c r="F72" s="23">
        <f t="shared" si="31"/>
        <v>0.94640000000000002</v>
      </c>
      <c r="G72" s="23">
        <f t="shared" si="31"/>
        <v>2.7175029999999998</v>
      </c>
      <c r="H72" s="23">
        <f>H14</f>
        <v>3.073</v>
      </c>
      <c r="I72" s="23">
        <f t="shared" si="31"/>
        <v>0</v>
      </c>
      <c r="J72" s="23">
        <f t="shared" si="31"/>
        <v>0</v>
      </c>
      <c r="K72" s="23">
        <f t="shared" si="31"/>
        <v>0</v>
      </c>
      <c r="L72" s="23">
        <f t="shared" si="31"/>
        <v>0</v>
      </c>
      <c r="M72" s="23">
        <f t="shared" si="31"/>
        <v>0</v>
      </c>
      <c r="N72" s="23">
        <f t="shared" si="31"/>
        <v>0</v>
      </c>
      <c r="O72" s="23">
        <f t="shared" si="31"/>
        <v>0</v>
      </c>
      <c r="P72" s="23">
        <f t="shared" si="31"/>
        <v>0</v>
      </c>
      <c r="Q72" s="23">
        <f t="shared" si="31"/>
        <v>0</v>
      </c>
      <c r="R72" s="23">
        <f t="shared" si="31"/>
        <v>0</v>
      </c>
      <c r="S72" s="23">
        <f t="shared" si="31"/>
        <v>0</v>
      </c>
      <c r="T72" s="23">
        <f t="shared" si="31"/>
        <v>0</v>
      </c>
      <c r="U72" s="23">
        <f t="shared" si="31"/>
        <v>0</v>
      </c>
      <c r="V72" s="23">
        <f t="shared" si="31"/>
        <v>0</v>
      </c>
      <c r="W72" s="23">
        <f t="shared" si="31"/>
        <v>0</v>
      </c>
    </row>
    <row r="73" spans="2:23" outlineLevel="1" x14ac:dyDescent="0.2">
      <c r="B73" s="69" t="s">
        <v>90</v>
      </c>
      <c r="C73" s="35"/>
      <c r="D73" s="35">
        <f>+D71-D72</f>
        <v>6.000000000172534E-7</v>
      </c>
      <c r="E73" s="35">
        <f t="shared" ref="E73:T73" si="32">+E71-E72</f>
        <v>0</v>
      </c>
      <c r="F73" s="35">
        <f>+F71-F72</f>
        <v>1.3999999999292356E-6</v>
      </c>
      <c r="G73" s="35">
        <f t="shared" si="32"/>
        <v>-2.9999999999752447E-6</v>
      </c>
      <c r="H73" s="35">
        <f t="shared" si="32"/>
        <v>0</v>
      </c>
      <c r="I73" s="35">
        <f t="shared" si="32"/>
        <v>0</v>
      </c>
      <c r="J73" s="35">
        <f t="shared" si="32"/>
        <v>0</v>
      </c>
      <c r="K73" s="35">
        <f t="shared" si="32"/>
        <v>0</v>
      </c>
      <c r="L73" s="35">
        <f t="shared" si="32"/>
        <v>0</v>
      </c>
      <c r="M73" s="35">
        <f t="shared" si="32"/>
        <v>0</v>
      </c>
      <c r="N73" s="35">
        <f t="shared" si="32"/>
        <v>0</v>
      </c>
      <c r="O73" s="35">
        <f t="shared" si="32"/>
        <v>0</v>
      </c>
      <c r="P73" s="35">
        <f t="shared" si="32"/>
        <v>0</v>
      </c>
      <c r="Q73" s="35">
        <f t="shared" si="32"/>
        <v>0</v>
      </c>
      <c r="R73" s="35">
        <f t="shared" si="32"/>
        <v>0</v>
      </c>
      <c r="S73" s="35">
        <f t="shared" si="32"/>
        <v>0</v>
      </c>
      <c r="T73" s="35">
        <f t="shared" si="32"/>
        <v>0</v>
      </c>
      <c r="U73" s="35">
        <f t="shared" ref="U73:W73" si="33">+U71-U72</f>
        <v>0</v>
      </c>
      <c r="V73" s="35">
        <f t="shared" si="33"/>
        <v>0</v>
      </c>
      <c r="W73" s="35">
        <f t="shared" si="33"/>
        <v>0</v>
      </c>
    </row>
    <row r="74" spans="2:23" outlineLevel="1" x14ac:dyDescent="0.2">
      <c r="B74" s="63"/>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0" t="s">
        <v>91</v>
      </c>
    </row>
    <row r="76" spans="2:23" x14ac:dyDescent="0.2">
      <c r="B76" s="61" t="s">
        <v>19</v>
      </c>
      <c r="C76" s="61"/>
      <c r="D76" s="62">
        <f>D58-D67</f>
        <v>-0.70653611613731959</v>
      </c>
      <c r="E76" s="62">
        <f t="shared" ref="E76:T76" si="34">E58-E67</f>
        <v>-0.69003439322329896</v>
      </c>
      <c r="F76" s="62">
        <f t="shared" si="34"/>
        <v>-2.0349233950924699</v>
      </c>
      <c r="G76" s="62">
        <f t="shared" si="34"/>
        <v>-2.4489585030753447</v>
      </c>
      <c r="H76" s="62">
        <f t="shared" si="34"/>
        <v>-2.6441685824633074</v>
      </c>
      <c r="I76" s="62">
        <f t="shared" si="34"/>
        <v>-2.7541764312262043</v>
      </c>
      <c r="J76" s="62">
        <f t="shared" si="34"/>
        <v>-2.7972585463353963</v>
      </c>
      <c r="K76" s="62">
        <f t="shared" si="34"/>
        <v>-2.8428952902686859</v>
      </c>
      <c r="L76" s="62">
        <f t="shared" si="34"/>
        <v>-3.0871775486406099</v>
      </c>
      <c r="M76" s="62">
        <f t="shared" si="34"/>
        <v>-3.3497152564713981</v>
      </c>
      <c r="N76" s="62">
        <f t="shared" si="34"/>
        <v>-3.6282809363249218</v>
      </c>
      <c r="O76" s="62">
        <f t="shared" si="34"/>
        <v>-3.9148218244472313</v>
      </c>
      <c r="P76" s="62">
        <f t="shared" si="34"/>
        <v>-4.1848660450160207</v>
      </c>
      <c r="Q76" s="62">
        <f t="shared" si="34"/>
        <v>-4.4628794689385272</v>
      </c>
      <c r="R76" s="62">
        <f t="shared" si="34"/>
        <v>-4.7252188941828628</v>
      </c>
      <c r="S76" s="62">
        <f t="shared" si="34"/>
        <v>-4.9532652930320307</v>
      </c>
      <c r="T76" s="62">
        <f t="shared" si="34"/>
        <v>-5.1817756271314259</v>
      </c>
      <c r="U76" s="62">
        <f t="shared" ref="U76:W76" si="35">U58-U67</f>
        <v>-5.4152943199936399</v>
      </c>
      <c r="V76" s="62">
        <f t="shared" si="35"/>
        <v>-5.6394331300202909</v>
      </c>
      <c r="W76" s="62">
        <f t="shared" si="35"/>
        <v>-5.8836732209899774</v>
      </c>
    </row>
    <row r="77" spans="2:23" x14ac:dyDescent="0.2">
      <c r="B77" s="15" t="s">
        <v>20</v>
      </c>
      <c r="D77" s="23">
        <f>D59-D67-D63-D64-D65</f>
        <v>-1.2253886489758579</v>
      </c>
      <c r="E77" s="23">
        <f>E59-E67-E63-E64-E65</f>
        <v>0.11684817669930103</v>
      </c>
      <c r="F77" s="23">
        <f t="shared" ref="F77:W77" si="36">F59-F67-F63-F64-F65</f>
        <v>-1.151721233353743</v>
      </c>
      <c r="G77" s="23">
        <f t="shared" si="36"/>
        <v>-1.6393632173293611</v>
      </c>
      <c r="H77" s="23">
        <f t="shared" si="36"/>
        <v>-2.1286183649459196</v>
      </c>
      <c r="I77" s="23">
        <f t="shared" si="36"/>
        <v>-2.3884125578462241</v>
      </c>
      <c r="J77" s="23">
        <f t="shared" si="36"/>
        <v>-2.6143783350648286</v>
      </c>
      <c r="K77" s="23">
        <f t="shared" si="36"/>
        <v>-2.8429011349985123</v>
      </c>
      <c r="L77" s="23">
        <f t="shared" si="36"/>
        <v>-3.087183000963551</v>
      </c>
      <c r="M77" s="23">
        <f t="shared" si="36"/>
        <v>-3.3497195309431063</v>
      </c>
      <c r="N77" s="23">
        <f t="shared" si="36"/>
        <v>-3.6282856036123921</v>
      </c>
      <c r="O77" s="23">
        <f t="shared" si="36"/>
        <v>-3.9148276702219205</v>
      </c>
      <c r="P77" s="23">
        <f t="shared" si="36"/>
        <v>-4.1848714981569772</v>
      </c>
      <c r="Q77" s="23">
        <f t="shared" si="36"/>
        <v>-4.4628845292259243</v>
      </c>
      <c r="R77" s="23">
        <f t="shared" si="36"/>
        <v>-4.725223954470259</v>
      </c>
      <c r="S77" s="23">
        <f t="shared" si="36"/>
        <v>-4.9532699600254864</v>
      </c>
      <c r="T77" s="23">
        <f t="shared" si="36"/>
        <v>-5.1817810813307821</v>
      </c>
      <c r="U77" s="23">
        <f t="shared" si="36"/>
        <v>-5.4152985922977006</v>
      </c>
      <c r="V77" s="23">
        <f t="shared" si="36"/>
        <v>-5.6394374023243419</v>
      </c>
      <c r="W77" s="23">
        <f t="shared" si="36"/>
        <v>-5.8836774932940372</v>
      </c>
    </row>
    <row r="78" spans="2:23" x14ac:dyDescent="0.2">
      <c r="B78" s="24" t="s">
        <v>92</v>
      </c>
      <c r="C78" s="24"/>
      <c r="D78" s="238">
        <f>'Input data'!D45</f>
        <v>18.105102814039316</v>
      </c>
      <c r="E78" s="238">
        <f>'Input data'!E45</f>
        <v>12.078211293552688</v>
      </c>
      <c r="F78" s="238">
        <f>'Input data'!F45</f>
        <v>10.458084915574926</v>
      </c>
      <c r="G78" s="35">
        <f>'Input data'!G33+G41-(G$12-F$12)/'Input data'!$C$64*100</f>
        <v>5.9748000000000001</v>
      </c>
      <c r="H78" s="35">
        <f>'Input data'!H33+H41-(H$12-G$12)/'Input data'!$C$64*100</f>
        <v>4.3260629999999995</v>
      </c>
      <c r="I78" s="35">
        <f>'Input data'!I33+I41-(I$12-H$12)/'Input data'!$C$64*100</f>
        <v>4.353026625</v>
      </c>
      <c r="J78" s="35">
        <f>'Input data'!J33+J41-(J$12-I$12)/'Input data'!$C$64*100</f>
        <v>4.0362162500000007</v>
      </c>
      <c r="K78" s="35">
        <f>'Input data'!K33+K41-(K$12-J$12)/'Input data'!$C$64*100</f>
        <v>4.048594875</v>
      </c>
      <c r="L78" s="35">
        <f>'Input data'!L33+L41-(L$12-K$12)/'Input data'!$C$64*100</f>
        <v>3.9565505000000001</v>
      </c>
      <c r="M78" s="35">
        <f>'Input data'!M33+M41-(M$12-L$12)/'Input data'!$C$64*100</f>
        <v>3.9205221249999997</v>
      </c>
      <c r="N78" s="35">
        <f>'Input data'!N33+N41-(N$12-M$12)/'Input data'!$C$64*100</f>
        <v>3.8875247499999999</v>
      </c>
      <c r="O78" s="35">
        <f>'Input data'!O33+O41-(O$12-N$12)/'Input data'!$C$64*100</f>
        <v>3.9024963750000001</v>
      </c>
      <c r="P78" s="35">
        <f>'Input data'!P33+P41-(P$12-O$12)/'Input data'!$C$64*100</f>
        <v>3.971441</v>
      </c>
      <c r="Q78" s="35">
        <f>'Input data'!Q33+Q41-(Q$12-P$12)/'Input data'!$C$64*100</f>
        <v>3.8970770000000003</v>
      </c>
      <c r="R78" s="35">
        <f>'Input data'!R33+R41-(R$12-Q$12)/'Input data'!$C$64*100</f>
        <v>3.8227139999999999</v>
      </c>
      <c r="S78" s="35">
        <f>'Input data'!S33+S41-(S$12-R$12)/'Input data'!$C$64*100</f>
        <v>3.7483499999999998</v>
      </c>
      <c r="T78" s="35">
        <f>'Input data'!T33+T41-(T$12-S$12)/'Input data'!$C$64*100</f>
        <v>3.6512040000000003</v>
      </c>
      <c r="U78" s="35">
        <f>'Input data'!U33+U41-(U$12-T$12)/'Input data'!$C$64*100</f>
        <v>3.5405199999999999</v>
      </c>
      <c r="V78" s="35">
        <f>'Input data'!V33+V41-(V$12-U$12)/'Input data'!$C$64*100</f>
        <v>3.4123700000000001</v>
      </c>
      <c r="W78" s="35">
        <f>'Input data'!W33+W41-(W$12-V$12)/'Input data'!$C$64*100</f>
        <v>3.323477</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1" customFormat="1" ht="12.75" outlineLevel="1" x14ac:dyDescent="0.2">
      <c r="B81" s="72" t="s">
        <v>93</v>
      </c>
      <c r="C81" s="73"/>
      <c r="E81" s="74"/>
      <c r="F81" s="73"/>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94</v>
      </c>
      <c r="D83" s="18"/>
      <c r="E83" s="18"/>
      <c r="F83" s="18">
        <f t="shared" ref="F83:W83" si="37">IF((F87-E87*F42/((1+F23/100)*(1+F41/100)))&gt;0,1,0)</f>
        <v>1</v>
      </c>
      <c r="G83" s="18">
        <f t="shared" si="37"/>
        <v>1</v>
      </c>
      <c r="H83" s="18">
        <f t="shared" si="37"/>
        <v>1</v>
      </c>
      <c r="I83" s="18">
        <f t="shared" si="37"/>
        <v>1</v>
      </c>
      <c r="J83" s="18">
        <f t="shared" si="37"/>
        <v>1</v>
      </c>
      <c r="K83" s="18">
        <f t="shared" si="37"/>
        <v>1</v>
      </c>
      <c r="L83" s="18">
        <f t="shared" si="37"/>
        <v>1</v>
      </c>
      <c r="M83" s="18">
        <f t="shared" si="37"/>
        <v>1</v>
      </c>
      <c r="N83" s="18">
        <f t="shared" si="37"/>
        <v>1</v>
      </c>
      <c r="O83" s="18">
        <f t="shared" si="37"/>
        <v>1</v>
      </c>
      <c r="P83" s="18">
        <f t="shared" si="37"/>
        <v>1</v>
      </c>
      <c r="Q83" s="18">
        <f t="shared" si="37"/>
        <v>1</v>
      </c>
      <c r="R83" s="18">
        <f t="shared" si="37"/>
        <v>1</v>
      </c>
      <c r="S83" s="18">
        <f t="shared" si="37"/>
        <v>1</v>
      </c>
      <c r="T83" s="18">
        <f t="shared" si="37"/>
        <v>1</v>
      </c>
      <c r="U83" s="18">
        <f t="shared" si="37"/>
        <v>1</v>
      </c>
      <c r="V83" s="18">
        <f t="shared" si="37"/>
        <v>1</v>
      </c>
      <c r="W83" s="18">
        <f t="shared" si="37"/>
        <v>1</v>
      </c>
    </row>
    <row r="84" spans="2:23" x14ac:dyDescent="0.2">
      <c r="B84" s="15" t="s">
        <v>95</v>
      </c>
      <c r="D84" s="18"/>
      <c r="E84" s="18"/>
      <c r="F84" s="18">
        <f t="shared" ref="F84:W84" si="38">IF(AND(F83=0,ABS(F87-E87*F42/((1+F23/100)*(1+F41/100)))&lt;((E93*E87*F42/((1+F23/100)*(1+F41/100))+(F38*E87*E94*F42/((1+F23/100)*(1+F41/100)))))),1,0)</f>
        <v>0</v>
      </c>
      <c r="G84" s="18">
        <f t="shared" si="38"/>
        <v>0</v>
      </c>
      <c r="H84" s="18">
        <f t="shared" si="38"/>
        <v>0</v>
      </c>
      <c r="I84" s="18">
        <f t="shared" si="38"/>
        <v>0</v>
      </c>
      <c r="J84" s="18">
        <f t="shared" si="38"/>
        <v>0</v>
      </c>
      <c r="K84" s="18">
        <f t="shared" si="38"/>
        <v>0</v>
      </c>
      <c r="L84" s="18">
        <f t="shared" si="38"/>
        <v>0</v>
      </c>
      <c r="M84" s="18">
        <f t="shared" si="38"/>
        <v>0</v>
      </c>
      <c r="N84" s="18">
        <f t="shared" si="38"/>
        <v>0</v>
      </c>
      <c r="O84" s="18">
        <f t="shared" si="38"/>
        <v>0</v>
      </c>
      <c r="P84" s="18">
        <f t="shared" si="38"/>
        <v>0</v>
      </c>
      <c r="Q84" s="18">
        <f t="shared" si="38"/>
        <v>0</v>
      </c>
      <c r="R84" s="18">
        <f t="shared" si="38"/>
        <v>0</v>
      </c>
      <c r="S84" s="18">
        <f t="shared" si="38"/>
        <v>0</v>
      </c>
      <c r="T84" s="18">
        <f t="shared" si="38"/>
        <v>0</v>
      </c>
      <c r="U84" s="18">
        <f t="shared" si="38"/>
        <v>0</v>
      </c>
      <c r="V84" s="18">
        <f t="shared" si="38"/>
        <v>0</v>
      </c>
      <c r="W84" s="18">
        <f t="shared" si="38"/>
        <v>0</v>
      </c>
    </row>
    <row r="86" spans="2:23" x14ac:dyDescent="0.2">
      <c r="B86" s="37"/>
      <c r="C86" s="66">
        <v>2021</v>
      </c>
      <c r="D86" s="66">
        <v>2022</v>
      </c>
      <c r="E86" s="66">
        <v>2023</v>
      </c>
      <c r="F86" s="66">
        <v>2024</v>
      </c>
      <c r="G86" s="66">
        <v>2025</v>
      </c>
      <c r="H86" s="66">
        <v>2026</v>
      </c>
      <c r="I86" s="66">
        <v>2027</v>
      </c>
      <c r="J86" s="66">
        <v>2028</v>
      </c>
      <c r="K86" s="66">
        <v>2029</v>
      </c>
      <c r="L86" s="66">
        <v>2030</v>
      </c>
      <c r="M86" s="66">
        <v>2031</v>
      </c>
      <c r="N86" s="66">
        <v>2032</v>
      </c>
      <c r="O86" s="66">
        <v>2033</v>
      </c>
      <c r="P86" s="66">
        <v>2034</v>
      </c>
      <c r="Q86" s="66">
        <v>2035</v>
      </c>
      <c r="R86" s="66">
        <v>2036</v>
      </c>
      <c r="S86" s="66">
        <v>2037</v>
      </c>
      <c r="T86" s="66">
        <v>2038</v>
      </c>
      <c r="U86" s="66">
        <v>2039</v>
      </c>
      <c r="V86" s="66">
        <v>2040</v>
      </c>
      <c r="W86" s="66">
        <v>2041</v>
      </c>
    </row>
    <row r="87" spans="2:23" x14ac:dyDescent="0.2">
      <c r="B87" s="83" t="s">
        <v>73</v>
      </c>
      <c r="C87" s="87">
        <f>C56</f>
        <v>43.287930000000003</v>
      </c>
      <c r="D87" s="87">
        <f>D56</f>
        <v>38.058251267161467</v>
      </c>
      <c r="E87" s="87">
        <f>E56</f>
        <v>37.344895037084065</v>
      </c>
      <c r="F87" s="87">
        <f>F56</f>
        <v>38.25865969882279</v>
      </c>
      <c r="G87" s="87">
        <f>G56</f>
        <v>41.169692284568775</v>
      </c>
      <c r="H87" s="87">
        <f>G87*(1+H101/100)*H42-H59-H60+H61+H62+H63+H64+H65+H72</f>
        <v>44.89887130582818</v>
      </c>
      <c r="I87" s="87">
        <f t="shared" ref="I87:W87" si="39">H87*(1+I101/100)*I42-I59-I60+I61+I62+I63+I64+I65+I72</f>
        <v>45.561655163219527</v>
      </c>
      <c r="J87" s="87">
        <f t="shared" si="39"/>
        <v>46.372782012656707</v>
      </c>
      <c r="K87" s="87">
        <f t="shared" si="39"/>
        <v>47.189767122817727</v>
      </c>
      <c r="L87" s="87">
        <f t="shared" si="39"/>
        <v>48.464223941053078</v>
      </c>
      <c r="M87" s="87">
        <f t="shared" si="39"/>
        <v>49.968835390399455</v>
      </c>
      <c r="N87" s="87">
        <f t="shared" si="39"/>
        <v>51.710401238870809</v>
      </c>
      <c r="O87" s="87">
        <f t="shared" si="39"/>
        <v>53.665481620442023</v>
      </c>
      <c r="P87" s="87">
        <f t="shared" si="39"/>
        <v>55.78155577090957</v>
      </c>
      <c r="Q87" s="87">
        <f t="shared" si="39"/>
        <v>58.133272887570037</v>
      </c>
      <c r="R87" s="87">
        <f t="shared" si="39"/>
        <v>60.699228545708507</v>
      </c>
      <c r="S87" s="87">
        <f t="shared" si="39"/>
        <v>63.440685448847496</v>
      </c>
      <c r="T87" s="87">
        <f t="shared" si="39"/>
        <v>66.369250960949074</v>
      </c>
      <c r="U87" s="87">
        <f t="shared" si="39"/>
        <v>69.497185659012302</v>
      </c>
      <c r="V87" s="87">
        <f t="shared" si="39"/>
        <v>72.82634479094159</v>
      </c>
      <c r="W87" s="87">
        <f t="shared" si="39"/>
        <v>76.350854379786597</v>
      </c>
    </row>
    <row r="88" spans="2:23" x14ac:dyDescent="0.2">
      <c r="B88" s="15" t="s">
        <v>96</v>
      </c>
      <c r="C88" s="23"/>
      <c r="D88" s="23"/>
      <c r="E88" s="180">
        <f>'Input data'!$C$66*E$87</f>
        <v>32.450765687484939</v>
      </c>
      <c r="F88" s="23">
        <f t="shared" ref="F88:W88" si="40">IF(F87=0,0,IF(F83=1,E87*F42/((1+F23/100)*(1+F41/100))-F89-F90,IF(AND(F83=0,F84=1),(1-E93-F38*E94)*E87*F42/((1+F23/100)*(1+F41/100)),F87)))</f>
        <v>31.704784592903835</v>
      </c>
      <c r="G88" s="23">
        <f t="shared" si="40"/>
        <v>32.404753152892177</v>
      </c>
      <c r="H88" s="23">
        <f t="shared" si="40"/>
        <v>35.313517200397115</v>
      </c>
      <c r="I88" s="23">
        <f t="shared" si="40"/>
        <v>38.635142626500468</v>
      </c>
      <c r="J88" s="23">
        <f t="shared" si="40"/>
        <v>39.389773638751777</v>
      </c>
      <c r="K88" s="23">
        <f t="shared" si="40"/>
        <v>40.149847826471223</v>
      </c>
      <c r="L88" s="23">
        <f t="shared" si="40"/>
        <v>41.147075392043426</v>
      </c>
      <c r="M88" s="23">
        <f t="shared" si="40"/>
        <v>42.339694987016543</v>
      </c>
      <c r="N88" s="23">
        <f t="shared" si="40"/>
        <v>43.736862020196959</v>
      </c>
      <c r="O88" s="23">
        <f t="shared" si="40"/>
        <v>45.325547392307712</v>
      </c>
      <c r="P88" s="23">
        <f t="shared" si="40"/>
        <v>47.081090439931771</v>
      </c>
      <c r="Q88" s="23">
        <f t="shared" si="40"/>
        <v>48.968726294504876</v>
      </c>
      <c r="R88" s="23">
        <f t="shared" si="40"/>
        <v>51.066015570711066</v>
      </c>
      <c r="S88" s="23">
        <f t="shared" si="40"/>
        <v>53.354615999402277</v>
      </c>
      <c r="T88" s="23">
        <f t="shared" si="40"/>
        <v>55.813434611446695</v>
      </c>
      <c r="U88" s="23">
        <f t="shared" si="40"/>
        <v>58.449502259022644</v>
      </c>
      <c r="V88" s="23">
        <f t="shared" si="40"/>
        <v>61.277622690506149</v>
      </c>
      <c r="W88" s="23">
        <f t="shared" si="40"/>
        <v>64.265549491405878</v>
      </c>
    </row>
    <row r="89" spans="2:23" x14ac:dyDescent="0.2">
      <c r="B89" s="82" t="s">
        <v>97</v>
      </c>
      <c r="C89" s="23"/>
      <c r="D89" s="23"/>
      <c r="E89" s="180">
        <f>'Input data'!$C$67*E$87</f>
        <v>2.3390136891588988</v>
      </c>
      <c r="F89" s="23">
        <f t="shared" ref="F89:W89" si="41">IF(F87=0,0,IF(F83=1,F38*E87*E94*F42/((1+F23/100)*(1+F41/100)),IF(AND(F83=0,F84=1),(F38*E87*E94*F42/((1+F23/100)*(1+F41/100)))*(1-ABS(F87-E87*F42/((1+F23/100)*(1+F41/100)))/((F38*E87*E94*F42/((1+F23/100)*(1+F41/100)))+(E93*E87*F42/((1+F23/100)*(1+F41/100))))),0)))</f>
        <v>3.5725505459972733</v>
      </c>
      <c r="G89" s="23">
        <f t="shared" si="41"/>
        <v>3.5905300382452006</v>
      </c>
      <c r="H89" s="23">
        <f t="shared" si="41"/>
        <v>3.8466920856907949</v>
      </c>
      <c r="I89" s="23">
        <f t="shared" si="41"/>
        <v>4.1364020857430219</v>
      </c>
      <c r="J89" s="23">
        <f t="shared" si="41"/>
        <v>4.1439200630412358</v>
      </c>
      <c r="K89" s="23">
        <f t="shared" si="41"/>
        <v>4.1494435200676874</v>
      </c>
      <c r="L89" s="23">
        <f t="shared" si="41"/>
        <v>4.1764739737209631</v>
      </c>
      <c r="M89" s="23">
        <f t="shared" si="41"/>
        <v>4.2195521251982511</v>
      </c>
      <c r="N89" s="23">
        <f t="shared" si="41"/>
        <v>4.2785148275390448</v>
      </c>
      <c r="O89" s="23">
        <f t="shared" si="41"/>
        <v>4.3510094027866506</v>
      </c>
      <c r="P89" s="23">
        <f t="shared" si="41"/>
        <v>4.433690168296609</v>
      </c>
      <c r="Q89" s="23">
        <f t="shared" si="41"/>
        <v>4.6114513979440552</v>
      </c>
      <c r="R89" s="23">
        <f t="shared" si="41"/>
        <v>4.808955974773113</v>
      </c>
      <c r="S89" s="23">
        <f t="shared" si="41"/>
        <v>5.0244765824105588</v>
      </c>
      <c r="T89" s="23">
        <f t="shared" si="41"/>
        <v>5.2560268673334383</v>
      </c>
      <c r="U89" s="23">
        <f t="shared" si="41"/>
        <v>5.5042689344311349</v>
      </c>
      <c r="V89" s="23">
        <f t="shared" si="41"/>
        <v>5.7705968727745551</v>
      </c>
      <c r="W89" s="23">
        <f t="shared" si="41"/>
        <v>6.0519739937577857</v>
      </c>
    </row>
    <row r="90" spans="2:23" x14ac:dyDescent="0.2">
      <c r="B90" s="82" t="s">
        <v>98</v>
      </c>
      <c r="C90" s="23"/>
      <c r="D90" s="23"/>
      <c r="E90" s="180">
        <f>'Input data'!$C$68*$E$87</f>
        <v>0</v>
      </c>
      <c r="F90" s="23">
        <f t="shared" ref="F90:W90" si="42">IF(F87=0,0,IF(F83=1,(1-E94)*E87*F42/((1+F23/100)*(1+F41/100)),IF(AND(F83=0,F84=1),(E93*E87*F42/((1+F23/100)*(1+F41/100)))*(1-ABS(F87-E87*F42/((1+F23/100)*(1+F41/100)))/((F38*E87*E94*F42/((1+F23/100)*(1+F41/100)))+(E93*E87*F42/((1+F23/100)*(1+F41/100))))),0)))</f>
        <v>0</v>
      </c>
      <c r="G90" s="23">
        <f t="shared" si="42"/>
        <v>7.9478969715159244E-3</v>
      </c>
      <c r="H90" s="23">
        <f t="shared" si="42"/>
        <v>2.1493437276949252E-2</v>
      </c>
      <c r="I90" s="23">
        <f t="shared" si="42"/>
        <v>3.5934019749829252E-2</v>
      </c>
      <c r="J90" s="23">
        <f t="shared" si="42"/>
        <v>4.182976452828522E-2</v>
      </c>
      <c r="K90" s="23">
        <f t="shared" si="42"/>
        <v>4.7580486010130152E-2</v>
      </c>
      <c r="L90" s="23">
        <f t="shared" si="42"/>
        <v>5.3497026648068151E-2</v>
      </c>
      <c r="M90" s="23">
        <f t="shared" si="42"/>
        <v>5.9873021713261247E-2</v>
      </c>
      <c r="N90" s="23">
        <f t="shared" si="42"/>
        <v>6.6743454809873412E-2</v>
      </c>
      <c r="O90" s="23">
        <f t="shared" si="42"/>
        <v>7.4103000900432106E-2</v>
      </c>
      <c r="P90" s="23">
        <f t="shared" si="42"/>
        <v>8.1909117665162415E-2</v>
      </c>
      <c r="Q90" s="23">
        <f t="shared" si="42"/>
        <v>9.0215726182580683E-2</v>
      </c>
      <c r="R90" s="23">
        <f t="shared" si="42"/>
        <v>9.903810604147141E-2</v>
      </c>
      <c r="S90" s="23">
        <f t="shared" si="42"/>
        <v>0.10832757400263189</v>
      </c>
      <c r="T90" s="23">
        <f t="shared" si="42"/>
        <v>0.118013855037506</v>
      </c>
      <c r="U90" s="23">
        <f t="shared" si="42"/>
        <v>0.12812014556488582</v>
      </c>
      <c r="V90" s="23">
        <f t="shared" si="42"/>
        <v>0.13869209764059087</v>
      </c>
      <c r="W90" s="23">
        <f t="shared" si="42"/>
        <v>0.149657673632941</v>
      </c>
    </row>
    <row r="91" spans="2:23" x14ac:dyDescent="0.2">
      <c r="B91" s="82" t="s">
        <v>99</v>
      </c>
      <c r="C91" s="23"/>
      <c r="D91" s="23"/>
      <c r="E91" s="180">
        <f>'Input data'!$C$69*E$87</f>
        <v>2.5551166604400901</v>
      </c>
      <c r="F91" s="23">
        <f>IF(F87=0,0,IF(F83=1,'Input data'!$C$58*(F87-E87*F42/((1+F23/100)*(1+F41/100))),0))</f>
        <v>2.9728787655758793</v>
      </c>
      <c r="G91" s="23">
        <f>IF(G87=0,0,IF(G83=1,'Input data'!$C$58*(G87-F87*G42/((1+G23/100)*(1+G41/100))),0))</f>
        <v>5.1518251285364336</v>
      </c>
      <c r="H91" s="23">
        <f>IF(H87=0,0,IF(H83=1,'Input data'!$C$58*(H87-G87*H42/((1+H23/100)*(1+H41/100))),0))</f>
        <v>5.7009724155860555</v>
      </c>
      <c r="I91" s="23">
        <f>IF(I87=0,0,IF(I83=1,'Input data'!$C$58*(I87-H87*I42/((1+I23/100)*(1+I41/100))),0))</f>
        <v>2.7463741248141851</v>
      </c>
      <c r="J91" s="23">
        <f>IF(J87=0,0,IF(J83=1,'Input data'!$C$58*(J87-I87*J42/((1+J23/100)*(1+J41/100))),0))</f>
        <v>2.789334192599493</v>
      </c>
      <c r="K91" s="23">
        <f>IF(K87=0,0,IF(K83=1,'Input data'!$C$58*(K87-J87*K42/((1+K23/100)*(1+K41/100))),0))</f>
        <v>2.8348416522008839</v>
      </c>
      <c r="L91" s="23">
        <f>IF(L87=0,0,IF(L83=1,'Input data'!$C$58*(L87-K87*L42/((1+L23/100)*(1+L41/100))),0))</f>
        <v>3.0784318833630739</v>
      </c>
      <c r="M91" s="23">
        <f>IF(M87=0,0,IF(M83=1,'Input data'!$C$58*(M87-L87*M42/((1+M23/100)*(1+M41/100))),0))</f>
        <v>3.3402258481213476</v>
      </c>
      <c r="N91" s="23">
        <f>IF(N87=0,0,IF(N83=1,'Input data'!$C$58*(N87-M87*N42/((1+N23/100)*(1+N41/100))),0))</f>
        <v>3.6180023792604192</v>
      </c>
      <c r="O91" s="23">
        <f>IF(O87=0,0,IF(O83=1,'Input data'!$C$58*(O87-N87*O42/((1+O23/100)*(1+O41/100))),0))</f>
        <v>3.9037315257007537</v>
      </c>
      <c r="P91" s="23">
        <f>IF(P87=0,0,IF(P83=1,'Input data'!$C$58*(P87-O87*P42/((1+P23/100)*(1+P41/100))),0))</f>
        <v>4.1730107379971031</v>
      </c>
      <c r="Q91" s="23">
        <f>IF(Q87=0,0,IF(Q83=1,'Input data'!$C$58*(Q87-P87*Q42/((1+Q23/100)*(1+Q41/100))),0))</f>
        <v>4.4502365776909754</v>
      </c>
      <c r="R91" s="23">
        <f>IF(R87=0,0,IF(R83=1,'Input data'!$C$58*(R87-Q87*R42/((1+R23/100)*(1+R41/100))),0))</f>
        <v>4.7118328215775289</v>
      </c>
      <c r="S91" s="23">
        <f>IF(S87=0,0,IF(S83=1,'Input data'!$C$58*(S87-R87*S42/((1+S23/100)*(1+S41/100))),0))</f>
        <v>4.9392331877834019</v>
      </c>
      <c r="T91" s="23">
        <f>IF(T87=0,0,IF(T83=1,'Input data'!$C$58*(T87-S87*T42/((1+T23/100)*(1+T41/100))),0))</f>
        <v>5.1670961749573356</v>
      </c>
      <c r="U91" s="23">
        <f>IF(U87=0,0,IF(U83=1,'Input data'!$C$58*(U87-T87*U42/((1+U23/100)*(1+U41/100))),0))</f>
        <v>5.3999533327145244</v>
      </c>
      <c r="V91" s="23">
        <f>IF(V87=0,0,IF(V83=1,'Input data'!$C$58*(V87-U87*V42/((1+V23/100)*(1+V41/100))),0))</f>
        <v>5.6234571799062589</v>
      </c>
      <c r="W91" s="23">
        <f>IF(W87=0,0,IF(W83=1,'Input data'!$C$58*(W87-V87*W42/((1+W23/100)*(1+W41/100))),0))</f>
        <v>5.8670053631222476</v>
      </c>
    </row>
    <row r="92" spans="2:23" x14ac:dyDescent="0.2">
      <c r="B92" s="84" t="s">
        <v>100</v>
      </c>
      <c r="C92" s="35"/>
      <c r="D92" s="35"/>
      <c r="E92" s="181">
        <f>'Input data'!$C$70*E$87</f>
        <v>0</v>
      </c>
      <c r="F92" s="35">
        <f>IF(F87=0,0,IF(F83=1,'Input data'!$C$57*(F87-E87*F42/((1+F23/100)*(1+F41/100))),0))</f>
        <v>8.4457943458021312E-3</v>
      </c>
      <c r="G92" s="35">
        <f>IF(G87=0,0,IF(G83=1,'Input data'!$C$57*(G87-F87*G42/((1+G23/100)*(1+G41/100))),0))</f>
        <v>1.4636067923451209E-2</v>
      </c>
      <c r="H92" s="35">
        <f>IF(H87=0,0,IF(H83=1,'Input data'!$C$57*(H87-G87*H42/((1+H23/100)*(1+H41/100))),0))</f>
        <v>1.6196166877260328E-2</v>
      </c>
      <c r="I92" s="35">
        <f>IF(I87=0,0,IF(I83=1,'Input data'!$C$57*(I87-H87*I42/((1+I23/100)*(1+I41/100))),0))</f>
        <v>7.8023064120207198E-3</v>
      </c>
      <c r="J92" s="35">
        <f>IF(J87=0,0,IF(J83=1,'Input data'!$C$57*(J87-I87*J42/((1+J23/100)*(1+J41/100))),0))</f>
        <v>7.9243537359135734E-3</v>
      </c>
      <c r="K92" s="35">
        <f>IF(K87=0,0,IF(K83=1,'Input data'!$C$57*(K87-J87*K42/((1+K23/100)*(1+K41/100))),0))</f>
        <v>8.0536380678021616E-3</v>
      </c>
      <c r="L92" s="35">
        <f>IF(L87=0,0,IF(L83=1,'Input data'!$C$57*(L87-K87*L42/((1+L23/100)*(1+L41/100))),0))</f>
        <v>8.7456652775440066E-3</v>
      </c>
      <c r="M92" s="35">
        <f>IF(M87=0,0,IF(M83=1,'Input data'!$C$57*(M87-L87*M42/((1+M23/100)*(1+M41/100))),0))</f>
        <v>9.4894083500578451E-3</v>
      </c>
      <c r="N92" s="35">
        <f>IF(N87=0,0,IF(N83=1,'Input data'!$C$57*(N87-M87*N42/((1+N23/100)*(1+N41/100))),0))</f>
        <v>1.0278557064514906E-2</v>
      </c>
      <c r="O92" s="35">
        <f>IF(O87=0,0,IF(O83=1,'Input data'!$C$57*(O87-N87*O42/((1+O23/100)*(1+O41/100))),0))</f>
        <v>1.109029874647656E-2</v>
      </c>
      <c r="P92" s="35">
        <f>IF(P87=0,0,IF(P83=1,'Input data'!$C$57*(P87-O87*P42/((1+P23/100)*(1+P41/100))),0))</f>
        <v>1.185530701892591E-2</v>
      </c>
      <c r="Q92" s="35">
        <f>IF(Q87=0,0,IF(Q83=1,'Input data'!$C$57*(Q87-P87*Q42/((1+Q23/100)*(1+Q41/100))),0))</f>
        <v>1.2642891247555967E-2</v>
      </c>
      <c r="R92" s="35">
        <f>IF(R87=0,0,IF(R83=1,'Input data'!$C$57*(R87-Q87*R42/((1+R23/100)*(1+R41/100))),0))</f>
        <v>1.3386072605330623E-2</v>
      </c>
      <c r="S92" s="35">
        <f>IF(S87=0,0,IF(S83=1,'Input data'!$C$57*(S87-R87*S42/((1+S23/100)*(1+S41/100))),0))</f>
        <v>1.4032105248630446E-2</v>
      </c>
      <c r="T92" s="35">
        <f>IF(T87=0,0,IF(T83=1,'Input data'!$C$57*(T87-S87*T42/((1+T23/100)*(1+T41/100))),0))</f>
        <v>1.4679452174100648E-2</v>
      </c>
      <c r="U92" s="35">
        <f>IF(U87=0,0,IF(U83=1,'Input data'!$C$57*(U87-T87*U42/((1+U23/100)*(1+U41/100))),0))</f>
        <v>1.5340987279109968E-2</v>
      </c>
      <c r="V92" s="35">
        <f>IF(V87=0,0,IF(V83=1,'Input data'!$C$57*(V87-U87*V42/((1+V23/100)*(1+V41/100))),0))</f>
        <v>1.5975950114034489E-2</v>
      </c>
      <c r="W92" s="35">
        <f>IF(W87=0,0,IF(W83=1,'Input data'!$C$57*(W87-V87*W42/((1+W23/100)*(1+W41/100))),0))</f>
        <v>1.6667857867742546E-2</v>
      </c>
    </row>
    <row r="93" spans="2:23" x14ac:dyDescent="0.2">
      <c r="B93" s="15" t="s">
        <v>51</v>
      </c>
      <c r="C93" s="25"/>
      <c r="D93" s="25"/>
      <c r="E93" s="25">
        <f>IF(E87&lt;&gt;0,(E90+E92)/(E88+E89+E90+E91+E92),0)</f>
        <v>0</v>
      </c>
      <c r="F93" s="25">
        <f t="shared" ref="F93" si="43">IF(F87&lt;&gt;0,(F90+F92)/(F88+F89+F90+F91+F92),0)</f>
        <v>2.2075510256471442E-4</v>
      </c>
      <c r="G93" s="25">
        <f>IF(G87&lt;&gt;0,(G90+G92)/(G88+G89+G90+G91+G92),0)</f>
        <v>5.4855802027531928E-4</v>
      </c>
      <c r="H93" s="25">
        <f>IF(H87&lt;&gt;0,(H90+H92)/(H88+H89+H90+H91+H92),0)</f>
        <v>8.3943322088181783E-4</v>
      </c>
      <c r="I93" s="25">
        <f t="shared" ref="I93:W93" si="44">IF(I87&lt;&gt;0,(I90+I92)/(I88+I89+I90+I91+I92),0)</f>
        <v>9.5993716657503947E-4</v>
      </c>
      <c r="J93" s="25">
        <f t="shared" si="44"/>
        <v>1.0729163984731216E-3</v>
      </c>
      <c r="K93" s="25">
        <f t="shared" si="44"/>
        <v>1.1789446625819749E-3</v>
      </c>
      <c r="L93" s="25">
        <f t="shared" si="44"/>
        <v>1.2843018388433867E-3</v>
      </c>
      <c r="M93" s="25">
        <f>IF(M87&lt;&gt;0,(M90+M92)/(M88+M89+M90+M91+M92),0)</f>
        <v>1.3881138017606417E-3</v>
      </c>
      <c r="N93" s="25">
        <f t="shared" si="44"/>
        <v>1.4894878018562097E-3</v>
      </c>
      <c r="O93" s="25">
        <f t="shared" si="44"/>
        <v>1.5874878427338515E-3</v>
      </c>
      <c r="P93" s="25">
        <f t="shared" si="44"/>
        <v>1.6809216485314858E-3</v>
      </c>
      <c r="Q93" s="25">
        <f t="shared" si="44"/>
        <v>1.7693587909468919E-3</v>
      </c>
      <c r="R93" s="25">
        <f t="shared" si="44"/>
        <v>1.8521516885860079E-3</v>
      </c>
      <c r="S93" s="25">
        <f t="shared" si="44"/>
        <v>1.9287256810918522E-3</v>
      </c>
      <c r="T93" s="25">
        <f t="shared" si="44"/>
        <v>1.9993190414290185E-3</v>
      </c>
      <c r="U93" s="25">
        <f t="shared" si="44"/>
        <v>2.0642725526741085E-3</v>
      </c>
      <c r="V93" s="25">
        <f t="shared" si="44"/>
        <v>2.1237925396176624E-3</v>
      </c>
      <c r="W93" s="25">
        <f t="shared" si="44"/>
        <v>2.1784370699159741E-3</v>
      </c>
    </row>
    <row r="94" spans="2:23" x14ac:dyDescent="0.2">
      <c r="B94" s="24" t="s">
        <v>52</v>
      </c>
      <c r="C94" s="85"/>
      <c r="D94" s="85"/>
      <c r="E94" s="85">
        <f t="shared" ref="E94:F94" si="45">IF(E87&lt;&gt;0,(E88+E89+E91)/(E88+E89+E90+E91+E92),1)</f>
        <v>1</v>
      </c>
      <c r="F94" s="85">
        <f t="shared" si="45"/>
        <v>0.9997792448974353</v>
      </c>
      <c r="G94" s="85">
        <f>IF(G87&lt;&gt;0,(G88+G89+G91)/(G88+G89+G90+G91+G92),1)</f>
        <v>0.99945144197972458</v>
      </c>
      <c r="H94" s="85">
        <f>IF(H87&lt;&gt;0,(H88+H89+H91)/(H88+H89+H90+H91+H92),1)</f>
        <v>0.99916056677911813</v>
      </c>
      <c r="I94" s="85">
        <f t="shared" ref="I94:W94" si="46">IF(I87&lt;&gt;0,(I88+I89+I91)/(I88+I89+I90+I91+I92),1)</f>
        <v>0.99904006283342495</v>
      </c>
      <c r="J94" s="85">
        <f t="shared" si="46"/>
        <v>0.99892708360152682</v>
      </c>
      <c r="K94" s="85">
        <f t="shared" si="46"/>
        <v>0.99882105533741805</v>
      </c>
      <c r="L94" s="85">
        <f t="shared" si="46"/>
        <v>0.99871569816115668</v>
      </c>
      <c r="M94" s="85">
        <f t="shared" si="46"/>
        <v>0.99861188619823948</v>
      </c>
      <c r="N94" s="85">
        <f t="shared" si="46"/>
        <v>0.9985105121981438</v>
      </c>
      <c r="O94" s="85">
        <f t="shared" si="46"/>
        <v>0.99841251215726623</v>
      </c>
      <c r="P94" s="85">
        <f t="shared" si="46"/>
        <v>0.99831907835146849</v>
      </c>
      <c r="Q94" s="85">
        <f t="shared" si="46"/>
        <v>0.99823064120905314</v>
      </c>
      <c r="R94" s="85">
        <f t="shared" si="46"/>
        <v>0.99814784831141401</v>
      </c>
      <c r="S94" s="85">
        <f t="shared" si="46"/>
        <v>0.99807127431890819</v>
      </c>
      <c r="T94" s="85">
        <f t="shared" si="46"/>
        <v>0.99800068095857097</v>
      </c>
      <c r="U94" s="85">
        <f t="shared" si="46"/>
        <v>0.99793572744732573</v>
      </c>
      <c r="V94" s="85">
        <f t="shared" si="46"/>
        <v>0.9978762074603823</v>
      </c>
      <c r="W94" s="85">
        <f t="shared" si="46"/>
        <v>0.99782156293008395</v>
      </c>
    </row>
    <row r="95" spans="2:23" x14ac:dyDescent="0.2">
      <c r="C95" s="25"/>
      <c r="D95" s="25"/>
      <c r="E95" s="179"/>
      <c r="F95" s="179"/>
      <c r="G95" s="179"/>
      <c r="H95" s="25"/>
      <c r="I95" s="25"/>
      <c r="J95" s="25"/>
      <c r="K95" s="25"/>
      <c r="L95" s="25"/>
      <c r="M95" s="25"/>
      <c r="N95" s="25"/>
      <c r="O95" s="25"/>
      <c r="P95" s="25"/>
      <c r="Q95" s="25"/>
      <c r="R95" s="25"/>
      <c r="S95" s="25"/>
      <c r="T95" s="25"/>
      <c r="U95" s="25"/>
      <c r="V95" s="25"/>
      <c r="W95" s="25"/>
    </row>
    <row r="96" spans="2:23" x14ac:dyDescent="0.2">
      <c r="B96" s="89" t="s">
        <v>101</v>
      </c>
      <c r="C96" s="91">
        <f>C35</f>
        <v>1.1161000000000001</v>
      </c>
      <c r="D96" s="91">
        <f>D35</f>
        <v>0.91907830000000001</v>
      </c>
      <c r="E96" s="91">
        <f>E35</f>
        <v>1.699492</v>
      </c>
      <c r="F96" s="91">
        <f>F98+F99</f>
        <v>2.2164999999999999</v>
      </c>
      <c r="G96" s="91">
        <f>G98+G99</f>
        <v>2.5547230000000001</v>
      </c>
      <c r="H96" s="91">
        <f>H98+H99</f>
        <v>2.893256</v>
      </c>
      <c r="I96" s="91">
        <f t="shared" ref="I96:W96" si="47">I98+I99</f>
        <v>2.9606043041704009</v>
      </c>
      <c r="J96" s="91">
        <f t="shared" si="47"/>
        <v>3.0131014629797841</v>
      </c>
      <c r="K96" s="91">
        <f t="shared" si="47"/>
        <v>3.0718205787824284</v>
      </c>
      <c r="L96" s="91">
        <f t="shared" si="47"/>
        <v>3.1357199599519898</v>
      </c>
      <c r="M96" s="91">
        <f t="shared" si="47"/>
        <v>3.2054069803337533</v>
      </c>
      <c r="N96" s="91">
        <f t="shared" si="47"/>
        <v>3.2800706243582374</v>
      </c>
      <c r="O96" s="91">
        <f t="shared" si="47"/>
        <v>3.3589471518053231</v>
      </c>
      <c r="P96" s="91">
        <f t="shared" si="47"/>
        <v>3.441288787303554</v>
      </c>
      <c r="Q96" s="91">
        <f t="shared" si="47"/>
        <v>3.5117928324550469</v>
      </c>
      <c r="R96" s="91">
        <f t="shared" si="47"/>
        <v>3.5728034616790314</v>
      </c>
      <c r="S96" s="91">
        <f t="shared" si="47"/>
        <v>3.6254055220362731</v>
      </c>
      <c r="T96" s="91">
        <f t="shared" si="47"/>
        <v>3.6705978945489752</v>
      </c>
      <c r="U96" s="91">
        <f t="shared" si="47"/>
        <v>3.7094764880173141</v>
      </c>
      <c r="V96" s="91">
        <f t="shared" si="47"/>
        <v>3.7430062495149063</v>
      </c>
      <c r="W96" s="91">
        <f t="shared" si="47"/>
        <v>3.7719818638754132</v>
      </c>
    </row>
    <row r="97" spans="2:25" x14ac:dyDescent="0.2">
      <c r="B97" s="22" t="s">
        <v>102</v>
      </c>
      <c r="C97" s="1"/>
      <c r="D97" s="23"/>
      <c r="E97" s="23"/>
      <c r="F97" s="190">
        <f>((F35*E87)-(F37*(E90+E92)))/(E88+E89+E91)</f>
        <v>2.2164999406478545</v>
      </c>
      <c r="G97" s="190">
        <f>((G35*F87)-(G37*(F90+F92)))/(F88+F89+F91)</f>
        <v>2.5548308567171363</v>
      </c>
      <c r="H97" s="190">
        <f>((H35*G87)-(H37*(G90+G92)))/(G88+G89+G91)</f>
        <v>2.8937486043366052</v>
      </c>
      <c r="I97" s="23">
        <f t="shared" ref="I97:W97" si="48">IF(H87&gt;0,(H97*H88+I36*(H91+H89))/(H88+H89+H91),I36)</f>
        <v>2.9613447344142703</v>
      </c>
      <c r="J97" s="23">
        <f t="shared" si="48"/>
        <v>3.0139184640278192</v>
      </c>
      <c r="K97" s="23">
        <f t="shared" si="48"/>
        <v>3.0727071855932659</v>
      </c>
      <c r="L97" s="23">
        <f t="shared" si="48"/>
        <v>3.1366711102357745</v>
      </c>
      <c r="M97" s="23">
        <f t="shared" si="48"/>
        <v>3.2064254322470913</v>
      </c>
      <c r="N97" s="23">
        <f t="shared" si="48"/>
        <v>3.2811591820661921</v>
      </c>
      <c r="O97" s="23">
        <f t="shared" si="48"/>
        <v>3.3601083764196638</v>
      </c>
      <c r="P97" s="23">
        <f t="shared" si="48"/>
        <v>3.4425246380771348</v>
      </c>
      <c r="Q97" s="23">
        <f t="shared" si="48"/>
        <v>3.5132761578267839</v>
      </c>
      <c r="R97" s="23">
        <f t="shared" si="48"/>
        <v>3.5745319570527121</v>
      </c>
      <c r="S97" s="23">
        <f t="shared" si="48"/>
        <v>3.627374264385109</v>
      </c>
      <c r="T97" s="23">
        <f t="shared" si="48"/>
        <v>3.6727996808816008</v>
      </c>
      <c r="U97" s="23">
        <f t="shared" si="48"/>
        <v>3.711903423261218</v>
      </c>
      <c r="V97" s="23">
        <f t="shared" si="48"/>
        <v>3.7456502301393462</v>
      </c>
      <c r="W97" s="23">
        <f t="shared" si="48"/>
        <v>3.7748345740287372</v>
      </c>
    </row>
    <row r="98" spans="2:25" x14ac:dyDescent="0.2">
      <c r="B98" s="15" t="s">
        <v>103</v>
      </c>
      <c r="C98" s="23"/>
      <c r="D98" s="23"/>
      <c r="E98" s="23"/>
      <c r="F98" s="190">
        <f>F35</f>
        <v>2.2164999999999999</v>
      </c>
      <c r="G98" s="190">
        <f>G35</f>
        <v>2.5547230000000001</v>
      </c>
      <c r="H98" s="190">
        <f>H35</f>
        <v>2.893256</v>
      </c>
      <c r="I98" s="23">
        <f t="shared" ref="I98:W98" si="49">(I97*(H88+H89+H91)+I37*(H90+H92))/H87</f>
        <v>2.9606043041704009</v>
      </c>
      <c r="J98" s="23">
        <f t="shared" si="49"/>
        <v>3.0131014629797841</v>
      </c>
      <c r="K98" s="23">
        <f t="shared" si="49"/>
        <v>3.0718205787824284</v>
      </c>
      <c r="L98" s="23">
        <f t="shared" si="49"/>
        <v>3.1357199599519898</v>
      </c>
      <c r="M98" s="23">
        <f t="shared" si="49"/>
        <v>3.2054069803337533</v>
      </c>
      <c r="N98" s="23">
        <f t="shared" si="49"/>
        <v>3.2800706243582374</v>
      </c>
      <c r="O98" s="23">
        <f t="shared" si="49"/>
        <v>3.3589471518053231</v>
      </c>
      <c r="P98" s="23">
        <f t="shared" si="49"/>
        <v>3.441288787303554</v>
      </c>
      <c r="Q98" s="23">
        <f t="shared" si="49"/>
        <v>3.5117928324550469</v>
      </c>
      <c r="R98" s="23">
        <f t="shared" si="49"/>
        <v>3.5728034616790314</v>
      </c>
      <c r="S98" s="23">
        <f t="shared" si="49"/>
        <v>3.6254055220362731</v>
      </c>
      <c r="T98" s="23">
        <f t="shared" si="49"/>
        <v>3.6705978945489752</v>
      </c>
      <c r="U98" s="23">
        <f t="shared" si="49"/>
        <v>3.7094764880173141</v>
      </c>
      <c r="V98" s="23">
        <f t="shared" si="49"/>
        <v>3.7430062495149063</v>
      </c>
      <c r="W98" s="23">
        <f t="shared" si="49"/>
        <v>3.7719818638754132</v>
      </c>
    </row>
    <row r="99" spans="2:25" x14ac:dyDescent="0.2">
      <c r="B99" s="24" t="s">
        <v>104</v>
      </c>
      <c r="C99" s="90"/>
      <c r="D99" s="35"/>
      <c r="E99" s="35"/>
      <c r="F99" s="35">
        <f t="shared" ref="F99:G99" si="50">F108</f>
        <v>0</v>
      </c>
      <c r="G99" s="35">
        <f t="shared" si="50"/>
        <v>0</v>
      </c>
      <c r="H99" s="35">
        <f>H108</f>
        <v>0</v>
      </c>
      <c r="I99" s="35">
        <f t="shared" ref="I99:W99" si="51">I108</f>
        <v>0</v>
      </c>
      <c r="J99" s="35">
        <f t="shared" si="51"/>
        <v>0</v>
      </c>
      <c r="K99" s="35">
        <f t="shared" si="51"/>
        <v>0</v>
      </c>
      <c r="L99" s="35">
        <f t="shared" si="51"/>
        <v>0</v>
      </c>
      <c r="M99" s="35">
        <f t="shared" si="51"/>
        <v>0</v>
      </c>
      <c r="N99" s="35">
        <f t="shared" si="51"/>
        <v>0</v>
      </c>
      <c r="O99" s="35">
        <f t="shared" si="51"/>
        <v>0</v>
      </c>
      <c r="P99" s="35">
        <f t="shared" si="51"/>
        <v>0</v>
      </c>
      <c r="Q99" s="35">
        <f t="shared" si="51"/>
        <v>0</v>
      </c>
      <c r="R99" s="35">
        <f t="shared" si="51"/>
        <v>0</v>
      </c>
      <c r="S99" s="35">
        <f t="shared" si="51"/>
        <v>0</v>
      </c>
      <c r="T99" s="35">
        <f t="shared" si="51"/>
        <v>0</v>
      </c>
      <c r="U99" s="35">
        <f t="shared" si="51"/>
        <v>0</v>
      </c>
      <c r="V99" s="35">
        <f t="shared" si="51"/>
        <v>0</v>
      </c>
      <c r="W99" s="35">
        <f t="shared" si="51"/>
        <v>0</v>
      </c>
    </row>
    <row r="100" spans="2:25" x14ac:dyDescent="0.2">
      <c r="G100" s="75"/>
      <c r="H100" s="75"/>
      <c r="I100" s="75"/>
      <c r="J100" s="75"/>
      <c r="K100" s="75"/>
      <c r="L100" s="75"/>
      <c r="M100" s="75"/>
      <c r="N100" s="75"/>
      <c r="O100" s="75"/>
      <c r="P100" s="75"/>
      <c r="Q100" s="75"/>
      <c r="R100" s="75"/>
      <c r="S100" s="75"/>
      <c r="T100" s="75"/>
      <c r="U100" s="75"/>
      <c r="V100" s="75"/>
      <c r="W100" s="75"/>
    </row>
    <row r="101" spans="2:25" x14ac:dyDescent="0.2">
      <c r="B101" s="89" t="s">
        <v>133</v>
      </c>
      <c r="C101" s="91">
        <f t="shared" ref="C101:W101" si="52">((1+C96/100)/((1+C23/100)*(1+C41/100))-1)*100</f>
        <v>-10.328304450846248</v>
      </c>
      <c r="D101" s="91">
        <f t="shared" si="52"/>
        <v>-15.202437346376829</v>
      </c>
      <c r="E101" s="91">
        <f t="shared" si="52"/>
        <v>-7.0345219296062078</v>
      </c>
      <c r="F101" s="91">
        <f t="shared" si="52"/>
        <v>-3.4426064487597552</v>
      </c>
      <c r="G101" s="91">
        <f t="shared" si="52"/>
        <v>-3.4910843808314995</v>
      </c>
      <c r="H101" s="91">
        <f t="shared" si="52"/>
        <v>-2.0752222055791747</v>
      </c>
      <c r="I101" s="91">
        <f t="shared" si="52"/>
        <v>-1.835307864145963</v>
      </c>
      <c r="J101" s="91">
        <f t="shared" si="52"/>
        <v>-1.4774638002545859</v>
      </c>
      <c r="K101" s="91">
        <f t="shared" si="52"/>
        <v>-1.4311279511503572</v>
      </c>
      <c r="L101" s="91">
        <f t="shared" si="52"/>
        <v>-0.82607661196366644</v>
      </c>
      <c r="M101" s="91">
        <f t="shared" si="52"/>
        <v>-0.72377363683479023</v>
      </c>
      <c r="N101" s="91">
        <f t="shared" si="52"/>
        <v>-0.61956133622570464</v>
      </c>
      <c r="O101" s="91">
        <f t="shared" si="52"/>
        <v>-0.55819151609507456</v>
      </c>
      <c r="P101" s="91">
        <f t="shared" si="52"/>
        <v>-0.54634895194868305</v>
      </c>
      <c r="Q101" s="91">
        <f t="shared" si="52"/>
        <v>-0.40581392885816747</v>
      </c>
      <c r="R101" s="91">
        <f t="shared" si="52"/>
        <v>-0.27423517317259893</v>
      </c>
      <c r="S101" s="91">
        <f t="shared" si="52"/>
        <v>-0.15058219364143532</v>
      </c>
      <c r="T101" s="91">
        <f t="shared" si="52"/>
        <v>-1.144996093229711E-2</v>
      </c>
      <c r="U101" s="91">
        <f t="shared" si="52"/>
        <v>0.13521784420935656</v>
      </c>
      <c r="V101" s="91">
        <f t="shared" si="52"/>
        <v>0.29430875839620008</v>
      </c>
      <c r="W101" s="91">
        <f t="shared" si="52"/>
        <v>0.41035378338285522</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1" customFormat="1" ht="12.75" x14ac:dyDescent="0.2">
      <c r="B104" s="14" t="s">
        <v>105</v>
      </c>
    </row>
    <row r="105" spans="2:25" s="86" customFormat="1" ht="12.75" x14ac:dyDescent="0.2">
      <c r="C105" s="80"/>
      <c r="D105" s="80"/>
      <c r="E105" s="80"/>
      <c r="F105" s="80"/>
      <c r="G105" s="80"/>
      <c r="H105" s="80"/>
      <c r="I105" s="80"/>
      <c r="J105" s="80"/>
      <c r="K105" s="80"/>
      <c r="L105" s="80"/>
      <c r="M105" s="80"/>
      <c r="N105" s="80"/>
      <c r="O105" s="80"/>
      <c r="P105" s="80"/>
      <c r="Q105" s="80"/>
      <c r="R105" s="80"/>
      <c r="S105" s="80"/>
      <c r="T105" s="80"/>
      <c r="U105" s="80"/>
      <c r="V105" s="80"/>
      <c r="W105" s="80"/>
    </row>
    <row r="106" spans="2:25" x14ac:dyDescent="0.2">
      <c r="B106" s="96" t="s">
        <v>21</v>
      </c>
      <c r="C106" s="23">
        <v>43.287930000000003</v>
      </c>
      <c r="D106" s="23">
        <v>38.058250000000001</v>
      </c>
      <c r="E106" s="23">
        <v>37.344900000000003</v>
      </c>
      <c r="F106" s="23">
        <v>38.258670000000002</v>
      </c>
      <c r="G106" s="23">
        <v>41.169699999999999</v>
      </c>
      <c r="H106" s="23">
        <v>44.898879999999998</v>
      </c>
      <c r="I106" s="23">
        <v>45.561660000000003</v>
      </c>
      <c r="J106" s="23">
        <v>46.372810000000001</v>
      </c>
      <c r="K106" s="23">
        <v>47.189799999999998</v>
      </c>
      <c r="L106" s="23">
        <v>48.46425</v>
      </c>
      <c r="M106" s="23">
        <v>49.968859999999999</v>
      </c>
      <c r="N106" s="23">
        <v>51.710430000000002</v>
      </c>
      <c r="O106" s="23">
        <v>53.665520000000001</v>
      </c>
      <c r="P106" s="23">
        <v>55.781970000000001</v>
      </c>
      <c r="Q106" s="23">
        <v>58.134030000000003</v>
      </c>
      <c r="R106" s="23">
        <v>60.700270000000003</v>
      </c>
      <c r="S106" s="23">
        <v>63.442</v>
      </c>
      <c r="T106" s="23">
        <v>66.370800000000003</v>
      </c>
      <c r="U106" s="23">
        <v>69.498949999999994</v>
      </c>
      <c r="V106" s="23">
        <v>72.828299999999999</v>
      </c>
      <c r="W106" s="23">
        <v>76.352980000000002</v>
      </c>
    </row>
    <row r="107" spans="2:25" x14ac:dyDescent="0.2">
      <c r="B107" s="15" t="s">
        <v>101</v>
      </c>
      <c r="C107" s="23">
        <v>1.1161000000000001</v>
      </c>
      <c r="D107" s="23">
        <v>0.91907830000000001</v>
      </c>
      <c r="E107" s="23">
        <v>1.699492</v>
      </c>
      <c r="F107" s="23">
        <v>2.2164999999999999</v>
      </c>
      <c r="G107" s="23">
        <v>2.5547230000000001</v>
      </c>
      <c r="H107" s="23">
        <v>2.893256</v>
      </c>
      <c r="I107" s="23">
        <v>2.960604</v>
      </c>
      <c r="J107" s="23">
        <v>3.0131009999999998</v>
      </c>
      <c r="K107" s="23">
        <v>3.0718209999999999</v>
      </c>
      <c r="L107" s="23">
        <v>3.1357200000000001</v>
      </c>
      <c r="M107" s="23">
        <v>3.2054070000000001</v>
      </c>
      <c r="N107" s="23">
        <v>3.280071</v>
      </c>
      <c r="O107" s="23">
        <v>3.3589470000000001</v>
      </c>
      <c r="P107" s="23">
        <v>3.4420419999999998</v>
      </c>
      <c r="Q107" s="23">
        <v>3.512432</v>
      </c>
      <c r="R107" s="23">
        <v>3.5733450000000002</v>
      </c>
      <c r="S107" s="23">
        <v>3.6258629999999998</v>
      </c>
      <c r="T107" s="23">
        <v>3.6709839999999998</v>
      </c>
      <c r="U107" s="23">
        <v>3.7098019999999998</v>
      </c>
      <c r="V107" s="23">
        <v>3.7432810000000001</v>
      </c>
      <c r="W107" s="23">
        <v>3.772214</v>
      </c>
    </row>
    <row r="108" spans="2:25" x14ac:dyDescent="0.2">
      <c r="B108" s="15" t="s">
        <v>132</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4"/>
      <c r="D109" s="94"/>
      <c r="E109" s="94"/>
      <c r="F109" s="94"/>
      <c r="G109" s="94"/>
      <c r="H109" s="94"/>
      <c r="I109" s="94"/>
      <c r="J109" s="94"/>
      <c r="K109" s="94"/>
      <c r="L109" s="94"/>
      <c r="M109" s="94"/>
      <c r="N109" s="94"/>
      <c r="O109" s="94"/>
      <c r="P109" s="94"/>
      <c r="Q109" s="94"/>
      <c r="R109" s="94"/>
      <c r="S109" s="94"/>
      <c r="T109" s="94"/>
      <c r="U109" s="94"/>
      <c r="V109" s="94"/>
      <c r="W109" s="94"/>
    </row>
    <row r="110" spans="2:25" x14ac:dyDescent="0.2">
      <c r="B110" s="15" t="s">
        <v>65</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106</v>
      </c>
      <c r="C111" s="23">
        <v>3.8019160000000003E-2</v>
      </c>
      <c r="D111" s="23">
        <v>7.8597440000000005E-2</v>
      </c>
      <c r="E111" s="23">
        <v>5.9475470000000003E-2</v>
      </c>
      <c r="F111" s="23">
        <v>9.7054730000000006E-2</v>
      </c>
      <c r="G111" s="23">
        <v>0.11813094</v>
      </c>
      <c r="H111" s="23">
        <v>0.13979354999999999</v>
      </c>
      <c r="I111" s="23">
        <v>0.13858428</v>
      </c>
      <c r="J111" s="23">
        <v>0.14522678</v>
      </c>
      <c r="K111" s="23">
        <v>0.14229575999999999</v>
      </c>
      <c r="L111" s="23">
        <v>0.12855515000000001</v>
      </c>
      <c r="M111" s="23">
        <v>0.13228095000000001</v>
      </c>
      <c r="N111" s="23">
        <v>7.5216920000000007E-2</v>
      </c>
      <c r="O111" s="23">
        <v>7.4732339999999994E-2</v>
      </c>
      <c r="P111" s="23">
        <v>6.8740140000000005E-2</v>
      </c>
      <c r="Q111" s="23">
        <v>6.8088819999999994E-2</v>
      </c>
      <c r="R111" s="23">
        <v>6.7659349999999993E-2</v>
      </c>
      <c r="S111" s="23">
        <v>6.9181220000000002E-2</v>
      </c>
      <c r="T111" s="23">
        <v>6.6608810000000004E-2</v>
      </c>
      <c r="U111" s="23">
        <v>6.6408819999999993E-2</v>
      </c>
      <c r="V111" s="23">
        <v>6.6360269999999999E-2</v>
      </c>
      <c r="W111" s="23">
        <v>6.6178710000000002E-2</v>
      </c>
      <c r="X111" s="27"/>
    </row>
    <row r="112" spans="2:25" x14ac:dyDescent="0.2">
      <c r="B112" s="15" t="s">
        <v>107</v>
      </c>
      <c r="C112" s="23">
        <v>7.5301500000000002E-3</v>
      </c>
      <c r="D112" s="23">
        <v>5.3891019999999998E-2</v>
      </c>
      <c r="E112" s="23">
        <v>3.9845220000000001E-2</v>
      </c>
      <c r="F112" s="23">
        <v>3.7901619999999997E-2</v>
      </c>
      <c r="G112" s="23">
        <v>1.5524369999999999E-2</v>
      </c>
      <c r="H112" s="23">
        <v>2.9265309999999999E-2</v>
      </c>
      <c r="I112" s="23">
        <v>2.611486E-2</v>
      </c>
      <c r="J112" s="23">
        <v>3.7880869999999997E-2</v>
      </c>
      <c r="K112" s="23">
        <v>3.700117E-2</v>
      </c>
      <c r="L112" s="23">
        <v>4.4027610000000002E-2</v>
      </c>
      <c r="M112" s="23">
        <v>5.2113630000000001E-2</v>
      </c>
      <c r="N112" s="23">
        <v>5.0156979999999997E-2</v>
      </c>
      <c r="O112" s="23">
        <v>7.9968419999999998E-2</v>
      </c>
      <c r="P112" s="23">
        <v>6.4114809999999994E-2</v>
      </c>
      <c r="Q112" s="23">
        <v>6.8531330000000001E-2</v>
      </c>
      <c r="R112" s="23">
        <v>7.6302709999999996E-2</v>
      </c>
      <c r="S112" s="23">
        <v>8.8701379999999996E-2</v>
      </c>
      <c r="T112" s="23">
        <v>9.8649000000000001E-2</v>
      </c>
      <c r="U112" s="23">
        <v>8.6605989999999994E-2</v>
      </c>
      <c r="V112" s="23">
        <v>9.2847760000000001E-2</v>
      </c>
      <c r="W112" s="23">
        <v>9.7724469999999994E-2</v>
      </c>
      <c r="X112" s="23"/>
      <c r="Y112" s="75"/>
    </row>
    <row r="113" spans="2:24" x14ac:dyDescent="0.2">
      <c r="B113" s="15" t="s">
        <v>108</v>
      </c>
      <c r="C113" s="23">
        <v>1E-3</v>
      </c>
      <c r="D113" s="23">
        <v>7.5373060000000006E-2</v>
      </c>
      <c r="E113" s="23">
        <v>4.6882050000000001E-2</v>
      </c>
      <c r="F113" s="23">
        <v>5.4216720000000003E-2</v>
      </c>
      <c r="G113" s="23">
        <v>6.7915409999999996E-2</v>
      </c>
      <c r="H113" s="23">
        <v>7.3615710000000001E-2</v>
      </c>
      <c r="I113" s="23">
        <v>6.3481170000000003E-2</v>
      </c>
      <c r="J113" s="23">
        <v>7.1880079999999999E-2</v>
      </c>
      <c r="K113" s="23">
        <v>7.7918799999999996E-2</v>
      </c>
      <c r="L113" s="23">
        <v>7.3351369999999999E-2</v>
      </c>
      <c r="M113" s="23">
        <v>9.3825160000000005E-2</v>
      </c>
      <c r="N113" s="23">
        <v>9.9157609999999993E-2</v>
      </c>
      <c r="O113" s="23">
        <v>0.10572949</v>
      </c>
      <c r="P113" s="23">
        <v>7.9050330000000002E-2</v>
      </c>
      <c r="Q113" s="23">
        <v>8.4228540000000005E-2</v>
      </c>
      <c r="R113" s="23">
        <v>7.3141579999999998E-2</v>
      </c>
      <c r="S113" s="23">
        <v>7.3569389999999998E-2</v>
      </c>
      <c r="T113" s="23">
        <v>7.406277E-2</v>
      </c>
      <c r="U113" s="23">
        <v>7.4590160000000003E-2</v>
      </c>
      <c r="V113" s="23">
        <v>7.5127540000000007E-2</v>
      </c>
      <c r="W113" s="23">
        <v>7.5892799999999996E-2</v>
      </c>
      <c r="X113" s="27"/>
    </row>
    <row r="114" spans="2:24" x14ac:dyDescent="0.2">
      <c r="B114" s="15" t="s">
        <v>109</v>
      </c>
      <c r="C114" s="23">
        <v>8.3818409999999996E-2</v>
      </c>
      <c r="D114" s="23">
        <v>6.9391629999999996E-2</v>
      </c>
      <c r="E114" s="23">
        <v>5.3238099999999997E-2</v>
      </c>
      <c r="F114" s="23">
        <v>4.9193250000000001E-2</v>
      </c>
      <c r="G114" s="23">
        <v>5.6546760000000001E-2</v>
      </c>
      <c r="H114" s="23">
        <v>6.3458280000000006E-2</v>
      </c>
      <c r="I114" s="23">
        <v>6.4334080000000002E-2</v>
      </c>
      <c r="J114" s="23">
        <v>6.3340759999999996E-2</v>
      </c>
      <c r="K114" s="23">
        <v>6.1144089999999998E-2</v>
      </c>
      <c r="L114" s="23">
        <v>5.3902770000000003E-2</v>
      </c>
      <c r="M114" s="23">
        <v>9.3255089999999999E-2</v>
      </c>
      <c r="N114" s="23">
        <v>7.2850020000000001E-2</v>
      </c>
      <c r="O114" s="23">
        <v>7.4534169999999997E-2</v>
      </c>
      <c r="P114" s="23">
        <v>6.1436480000000002E-2</v>
      </c>
      <c r="Q114" s="23">
        <v>8.2422819999999994E-2</v>
      </c>
      <c r="R114" s="23">
        <v>8.5317599999999993E-2</v>
      </c>
      <c r="S114" s="23">
        <v>6.0394759999999999E-2</v>
      </c>
      <c r="T114" s="23">
        <v>7.3690290000000006E-2</v>
      </c>
      <c r="U114" s="23">
        <v>5.733009E-2</v>
      </c>
      <c r="V114" s="23">
        <v>6.1014230000000003E-2</v>
      </c>
      <c r="W114" s="23">
        <v>5.730975E-2</v>
      </c>
      <c r="X114" s="27"/>
    </row>
    <row r="115" spans="2:24" x14ac:dyDescent="0.2">
      <c r="C115" s="27"/>
      <c r="D115" s="27"/>
      <c r="E115" s="23"/>
      <c r="F115" s="23"/>
      <c r="G115" s="27"/>
      <c r="H115" s="94"/>
      <c r="I115" s="94"/>
      <c r="J115" s="94"/>
      <c r="K115" s="94"/>
      <c r="L115" s="94"/>
      <c r="M115" s="94"/>
      <c r="N115" s="94"/>
      <c r="O115" s="94"/>
      <c r="P115" s="94"/>
      <c r="Q115" s="94"/>
      <c r="R115" s="94"/>
      <c r="S115" s="94"/>
      <c r="T115" s="94"/>
      <c r="U115" s="94"/>
      <c r="V115" s="94"/>
      <c r="W115" s="94"/>
      <c r="X115" s="27"/>
    </row>
    <row r="116" spans="2:24" x14ac:dyDescent="0.2">
      <c r="E116" s="23"/>
      <c r="F116" s="23"/>
      <c r="G116" s="97"/>
      <c r="H116" s="97"/>
      <c r="I116" s="97"/>
      <c r="J116" s="97"/>
      <c r="K116" s="97"/>
      <c r="L116" s="97"/>
      <c r="M116" s="97"/>
      <c r="N116" s="97"/>
      <c r="O116" s="97"/>
      <c r="P116" s="97"/>
      <c r="Q116" s="97"/>
      <c r="R116" s="97"/>
      <c r="S116" s="97"/>
      <c r="T116" s="97"/>
      <c r="U116" s="97"/>
      <c r="V116" s="97"/>
      <c r="W116" s="97"/>
    </row>
    <row r="117" spans="2:24" x14ac:dyDescent="0.2">
      <c r="D117" s="184"/>
      <c r="E117" s="184"/>
      <c r="F117" s="184"/>
      <c r="G117" s="184"/>
    </row>
    <row r="118" spans="2:24" x14ac:dyDescent="0.2">
      <c r="D118" s="184"/>
      <c r="E118" s="184"/>
      <c r="F118" s="184"/>
      <c r="G118" s="184"/>
      <c r="H118" s="184"/>
      <c r="I118" s="184"/>
      <c r="J118" s="184"/>
      <c r="K118" s="184"/>
      <c r="L118" s="184"/>
      <c r="M118" s="184"/>
      <c r="N118" s="184"/>
      <c r="O118" s="184"/>
      <c r="P118" s="184"/>
      <c r="Q118" s="184"/>
      <c r="R118" s="184"/>
      <c r="S118" s="184"/>
      <c r="T118" s="184"/>
      <c r="U118" s="97"/>
      <c r="V118" s="97"/>
      <c r="W118" s="97"/>
    </row>
    <row r="119" spans="2:24" x14ac:dyDescent="0.2">
      <c r="E119" s="23"/>
      <c r="F119" s="23"/>
      <c r="G119" s="97"/>
      <c r="H119" s="97"/>
      <c r="I119" s="97"/>
      <c r="J119" s="97"/>
      <c r="K119" s="97"/>
      <c r="L119" s="97"/>
      <c r="M119" s="97"/>
      <c r="N119" s="97"/>
      <c r="O119" s="97"/>
      <c r="P119" s="97"/>
      <c r="Q119" s="97"/>
      <c r="R119" s="97"/>
      <c r="S119" s="97"/>
      <c r="T119" s="97"/>
      <c r="U119" s="97"/>
      <c r="V119" s="97"/>
      <c r="W119" s="97"/>
      <c r="X119" s="97"/>
    </row>
    <row r="120" spans="2:24" x14ac:dyDescent="0.2">
      <c r="G120" s="97"/>
      <c r="H120" s="97"/>
      <c r="I120" s="97"/>
      <c r="J120" s="97"/>
      <c r="K120" s="97"/>
      <c r="L120" s="97"/>
      <c r="M120" s="97"/>
      <c r="N120" s="97"/>
      <c r="O120" s="97"/>
      <c r="P120" s="97"/>
      <c r="Q120" s="97"/>
      <c r="R120" s="97"/>
      <c r="S120" s="97"/>
      <c r="T120" s="97"/>
      <c r="U120" s="97"/>
      <c r="V120" s="97"/>
      <c r="W120" s="97"/>
      <c r="X120" s="97"/>
    </row>
    <row r="121" spans="2:24" x14ac:dyDescent="0.2">
      <c r="E121" s="23"/>
      <c r="F121" s="75"/>
      <c r="G121" s="75"/>
      <c r="H121" s="75"/>
      <c r="I121" s="75"/>
      <c r="J121" s="75"/>
      <c r="K121" s="75"/>
      <c r="L121" s="75"/>
      <c r="M121" s="75"/>
      <c r="N121" s="75"/>
      <c r="O121" s="75"/>
      <c r="P121" s="75"/>
      <c r="Q121" s="75"/>
      <c r="R121" s="75"/>
      <c r="S121" s="75"/>
      <c r="T121" s="75"/>
      <c r="U121" s="75"/>
      <c r="V121" s="75"/>
      <c r="W121" s="75"/>
      <c r="X121" s="97"/>
    </row>
    <row r="122" spans="2:24" x14ac:dyDescent="0.2">
      <c r="E122" s="23"/>
      <c r="F122" s="23"/>
      <c r="G122" s="97"/>
      <c r="H122" s="97"/>
      <c r="I122" s="97"/>
      <c r="J122" s="97"/>
      <c r="K122" s="97"/>
      <c r="L122" s="97"/>
      <c r="M122" s="97"/>
      <c r="N122" s="97"/>
      <c r="O122" s="97"/>
      <c r="P122" s="97"/>
      <c r="Q122" s="97"/>
      <c r="R122" s="97"/>
      <c r="S122" s="97"/>
      <c r="T122" s="97"/>
      <c r="U122" s="97"/>
      <c r="V122" s="97"/>
      <c r="W122" s="97"/>
      <c r="X122" s="97"/>
    </row>
    <row r="123" spans="2:24" x14ac:dyDescent="0.2">
      <c r="G123" s="97"/>
      <c r="H123" s="97"/>
      <c r="I123" s="97"/>
      <c r="J123" s="97"/>
      <c r="K123" s="97"/>
      <c r="L123" s="97"/>
      <c r="M123" s="97"/>
      <c r="N123" s="97"/>
      <c r="O123" s="97"/>
      <c r="P123" s="97"/>
      <c r="Q123" s="97"/>
      <c r="R123" s="97"/>
      <c r="S123" s="97"/>
      <c r="T123" s="97"/>
      <c r="U123" s="97"/>
      <c r="V123" s="97"/>
      <c r="W123" s="97"/>
      <c r="X123" s="97"/>
    </row>
  </sheetData>
  <conditionalFormatting sqref="U10:W43 U45:W52 U54:W80 U82:W103 U105:W130">
    <cfRule type="expression" dxfId="9"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6"/>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LT</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338"/>
      <c r="H8" s="338"/>
      <c r="I8" s="338"/>
      <c r="J8" s="338"/>
      <c r="K8" s="338"/>
      <c r="L8" s="338"/>
      <c r="M8" s="33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7"/>
      <c r="G11" s="339"/>
      <c r="H11" s="339"/>
      <c r="I11" s="339"/>
      <c r="J11" s="339"/>
      <c r="K11" s="339"/>
      <c r="L11" s="339"/>
      <c r="M11" s="339"/>
      <c r="N11" s="187"/>
      <c r="O11" s="187"/>
      <c r="P11" s="187"/>
      <c r="Q11" s="187"/>
      <c r="R11" s="187"/>
      <c r="S11" s="187"/>
      <c r="T11" s="187"/>
      <c r="U11" s="187"/>
      <c r="V11" s="187"/>
      <c r="W11" s="187"/>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-1.471627</v>
      </c>
      <c r="D12" s="2">
        <f>'Input data'!D13</f>
        <v>-0.89109400000000005</v>
      </c>
      <c r="E12" s="2">
        <f>'Input data'!E13</f>
        <v>0.7080978</v>
      </c>
      <c r="F12" s="2">
        <f>'Input data'!F13</f>
        <v>-0.36979909999999999</v>
      </c>
      <c r="G12" s="3">
        <f>IF(G10&lt;=$C$6,
IF(AND(F78&lt;=-1.55,'Criteria results'!$F$5=4,'Criteria results'!$F$6&lt;0.4),F12+0.4,
IF(AND(F78&lt;=-1.55,'Criteria results'!$F$5=7,'Criteria results'!$F$6&lt;0.25),F12+0.25,
F12+'Criteria results'!$F$6)),F12)</f>
        <v>-0.20979909999999996</v>
      </c>
      <c r="H12" s="3">
        <f>IF(H10&lt;=$C$6,
IF(AND(G78&lt;=-1.55,'Criteria results'!$F$5=4,'Criteria results'!$F$6&lt;0.4),G12+0.4,
IF(AND(G78&lt;=-1.55,'Criteria results'!$F$5=7,'Criteria results'!$F$6&lt;0.25),G12+0.25,
G12+'Criteria results'!$F$6)),G12)</f>
        <v>-4.979909999999993E-2</v>
      </c>
      <c r="I12" s="3">
        <f>IF(I10&lt;=$C$6,
IF(AND(H78&lt;=-1.55,'Criteria results'!$F$5=4,'Criteria results'!$F$6&lt;0.4),H12+0.4,
IF(AND(H78&lt;=-1.55,'Criteria results'!$F$5=7,'Criteria results'!$F$6&lt;0.25),H12+0.25,
H12+'Criteria results'!$F$6)),H12)</f>
        <v>0.1102009000000001</v>
      </c>
      <c r="J12" s="3">
        <f>IF(J10&lt;=$C$6,
IF(AND(I78&lt;=-1.55,'Criteria results'!$F$5=4,'Criteria results'!$F$6&lt;0.4),I12+0.4,
IF(AND(I78&lt;=-1.55,'Criteria results'!$F$5=7,'Criteria results'!$F$6&lt;0.25),I12+0.25,
I12+'Criteria results'!$F$6)),I12)</f>
        <v>0.27020090000000013</v>
      </c>
      <c r="K12" s="95">
        <f>IF(K10&lt;=$C$6,
IF(AND(J78&lt;=-1.55,'Criteria results'!$F$5=4,'Criteria results'!$F$6&lt;0.4),J12+0.4,
IF(AND(J78&lt;=-1.55,'Criteria results'!$F$5=7,'Criteria results'!$F$6&lt;0.25),J12+0.25,
J12+'Criteria results'!$F$6)),J12)</f>
        <v>0.27020090000000013</v>
      </c>
      <c r="L12" s="95">
        <f>IF(L10&lt;=$C$6,
IF(AND(K78&lt;=-1.55,'Criteria results'!$F$5=4,'Criteria results'!$F$6&lt;0.4),K12+0.4,
IF(AND(K78&lt;=-1.55,'Criteria results'!$F$5=7,'Criteria results'!$F$6&lt;0.25),K12+0.25,
K12+'Criteria results'!$F$6)),K12)</f>
        <v>0.27020090000000013</v>
      </c>
      <c r="M12" s="95">
        <f>IF(M10&lt;=$C$6,
IF(AND(L78&lt;=-1.55,'Criteria results'!$F$5=4,'Criteria results'!$F$6&lt;0.4),L12+0.4,
IF(AND(L78&lt;=-1.55,'Criteria results'!$F$5=7,'Criteria results'!$F$6&lt;0.25),L12+0.25,
L12+'Criteria results'!$F$6)),L12)</f>
        <v>0.27020090000000013</v>
      </c>
      <c r="N12" s="95">
        <f>M12</f>
        <v>0.27020090000000013</v>
      </c>
      <c r="O12" s="95">
        <f t="shared" ref="O12:W12" si="0">N12</f>
        <v>0.27020090000000013</v>
      </c>
      <c r="P12" s="95">
        <f t="shared" si="0"/>
        <v>0.27020090000000013</v>
      </c>
      <c r="Q12" s="95">
        <f t="shared" si="0"/>
        <v>0.27020090000000013</v>
      </c>
      <c r="R12" s="95">
        <f t="shared" si="0"/>
        <v>0.27020090000000013</v>
      </c>
      <c r="S12" s="95">
        <f t="shared" si="0"/>
        <v>0.27020090000000013</v>
      </c>
      <c r="T12" s="95">
        <f t="shared" si="0"/>
        <v>0.27020090000000013</v>
      </c>
      <c r="U12" s="95">
        <f t="shared" si="0"/>
        <v>0.27020090000000013</v>
      </c>
      <c r="V12" s="95">
        <f t="shared" si="0"/>
        <v>0.27020090000000013</v>
      </c>
      <c r="W12" s="95">
        <f t="shared" si="0"/>
        <v>0.27020090000000013</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4" t="s">
        <v>137</v>
      </c>
      <c r="C13" s="18"/>
      <c r="D13" s="18"/>
      <c r="E13" s="18"/>
      <c r="F13" s="187"/>
      <c r="G13" s="187">
        <f>G12-F12</f>
        <v>0.16000000000000003</v>
      </c>
      <c r="H13" s="187">
        <f t="shared" ref="H13:W13" si="1">H12-G12</f>
        <v>0.16000000000000003</v>
      </c>
      <c r="I13" s="187">
        <f t="shared" si="1"/>
        <v>0.16000000000000003</v>
      </c>
      <c r="J13" s="187">
        <f t="shared" si="1"/>
        <v>0.16000000000000003</v>
      </c>
      <c r="K13" s="187">
        <f t="shared" si="1"/>
        <v>0</v>
      </c>
      <c r="L13" s="187">
        <f t="shared" si="1"/>
        <v>0</v>
      </c>
      <c r="M13" s="187">
        <f t="shared" si="1"/>
        <v>0</v>
      </c>
      <c r="N13" s="187">
        <f t="shared" si="1"/>
        <v>0</v>
      </c>
      <c r="O13" s="187">
        <f t="shared" si="1"/>
        <v>0</v>
      </c>
      <c r="P13" s="187">
        <f t="shared" si="1"/>
        <v>0</v>
      </c>
      <c r="Q13" s="187">
        <f t="shared" si="1"/>
        <v>0</v>
      </c>
      <c r="R13" s="187">
        <f t="shared" si="1"/>
        <v>0</v>
      </c>
      <c r="S13" s="187">
        <f t="shared" si="1"/>
        <v>0</v>
      </c>
      <c r="T13" s="187">
        <f t="shared" si="1"/>
        <v>0</v>
      </c>
      <c r="U13" s="187">
        <f t="shared" si="1"/>
        <v>0</v>
      </c>
      <c r="V13" s="187">
        <f t="shared" si="1"/>
        <v>0</v>
      </c>
      <c r="W13" s="187">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9.8800999999999993E-3</v>
      </c>
      <c r="D14" s="2">
        <f>'Input data'!D14</f>
        <v>0.1602539</v>
      </c>
      <c r="E14" s="2">
        <f>'Input data'!E14</f>
        <v>3.2523000000000001E-3</v>
      </c>
      <c r="F14" s="2">
        <f>'Input data'!F14</f>
        <v>2.5601999999999999E-3</v>
      </c>
      <c r="G14" s="2">
        <f>'Input data'!G14</f>
        <v>1.5619E-3</v>
      </c>
      <c r="H14" s="2">
        <f>'Input data'!H14</f>
        <v>3.3098299999999997E-2</v>
      </c>
      <c r="I14" s="2">
        <f>'Input data'!I14</f>
        <v>0</v>
      </c>
      <c r="J14" s="2">
        <f>'Input data'!J14</f>
        <v>0</v>
      </c>
      <c r="K14" s="2">
        <f>'Input data'!K14</f>
        <v>0</v>
      </c>
      <c r="L14" s="2">
        <f>'Input data'!L14</f>
        <v>0</v>
      </c>
      <c r="M14" s="2">
        <f>'Input data'!M14</f>
        <v>0</v>
      </c>
      <c r="N14" s="2">
        <f>'Input data'!N14</f>
        <v>0</v>
      </c>
      <c r="O14" s="2">
        <f>'Input data'!O14</f>
        <v>0</v>
      </c>
      <c r="P14" s="2">
        <f>'Input data'!P14</f>
        <v>0</v>
      </c>
      <c r="Q14" s="2">
        <f>'Input data'!Q14</f>
        <v>0</v>
      </c>
      <c r="R14" s="2">
        <f>'Input data'!R14</f>
        <v>0</v>
      </c>
      <c r="S14" s="2">
        <f>'Input data'!S14</f>
        <v>0</v>
      </c>
      <c r="T14" s="2">
        <f>'Input data'!T14</f>
        <v>0</v>
      </c>
      <c r="U14" s="2">
        <f>'Input data'!U14</f>
        <v>0</v>
      </c>
      <c r="V14" s="2">
        <f>'Input data'!V14</f>
        <v>0</v>
      </c>
      <c r="W14" s="2">
        <f>'Input data'!W14</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56</v>
      </c>
      <c r="C15" s="1">
        <f>'Input data'!C15</f>
        <v>1.4649000000000001</v>
      </c>
      <c r="D15" s="2">
        <f>'Input data'!D15</f>
        <v>0.97889720000000002</v>
      </c>
      <c r="E15" s="2">
        <f>'Input data'!E15</f>
        <v>1.865075</v>
      </c>
      <c r="F15" s="2">
        <f>'Input data'!F15</f>
        <v>0.94640000000000002</v>
      </c>
      <c r="G15" s="2">
        <f>'Input data'!G15</f>
        <v>2.7175029999999998</v>
      </c>
      <c r="H15" s="2">
        <f>'Input data'!H15</f>
        <v>3.073</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8">
        <f>'Input data'!D20</f>
        <v>14.76225</v>
      </c>
      <c r="E18" s="78">
        <f>'Input data'!E20</f>
        <v>15.0023</v>
      </c>
      <c r="F18" s="78">
        <f>'Input data'!F20</f>
        <v>15.355459999999999</v>
      </c>
      <c r="G18" s="78">
        <f>'Input data'!G20</f>
        <v>15.69932</v>
      </c>
      <c r="H18" s="78">
        <f>'Input data'!H20</f>
        <v>15.968810000000001</v>
      </c>
      <c r="I18" s="78">
        <f>'Input data'!I20</f>
        <v>16.088950000000001</v>
      </c>
      <c r="J18" s="78">
        <f>'Input data'!J20</f>
        <v>16.263380000000002</v>
      </c>
      <c r="K18" s="78">
        <f>'Input data'!K20</f>
        <v>16.436700000000002</v>
      </c>
      <c r="L18" s="78">
        <f>'Input data'!L20</f>
        <v>16.614419999999999</v>
      </c>
      <c r="M18" s="78">
        <f>'Input data'!M20</f>
        <v>16.799599999999998</v>
      </c>
      <c r="N18" s="78">
        <f>'Input data'!N20</f>
        <v>16.989449999999998</v>
      </c>
      <c r="O18" s="78">
        <f>'Input data'!O20</f>
        <v>17.176099999999998</v>
      </c>
      <c r="P18" s="78">
        <f>'Input data'!P20</f>
        <v>17.335729999999998</v>
      </c>
      <c r="Q18" s="78">
        <f>'Input data'!Q20</f>
        <v>17.498619999999999</v>
      </c>
      <c r="R18" s="78">
        <f>'Input data'!R20</f>
        <v>17.639989999999997</v>
      </c>
      <c r="S18" s="78">
        <f>'Input data'!S20</f>
        <v>17.741549999999997</v>
      </c>
      <c r="T18" s="78">
        <f>'Input data'!T20</f>
        <v>17.8386</v>
      </c>
      <c r="U18" s="78">
        <f>'Input data'!U20</f>
        <v>17.935040000000001</v>
      </c>
      <c r="V18" s="78">
        <f>'Input data'!V20</f>
        <v>18.015550000000001</v>
      </c>
      <c r="W18" s="78">
        <f>'Input data'!W20</f>
        <v>18.110669999999999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0.36009390000000002</v>
      </c>
      <c r="D19" s="78">
        <f>'Input data'!D26</f>
        <v>0.39655800000000002</v>
      </c>
      <c r="E19" s="78">
        <f>'Input data'!E26</f>
        <v>0.71944660000000005</v>
      </c>
      <c r="F19" s="78">
        <f>'Input data'!F26</f>
        <v>0.71352550000000003</v>
      </c>
      <c r="G19" s="78">
        <f>'Input data'!G26</f>
        <v>0.70760429999999996</v>
      </c>
      <c r="H19" s="78">
        <f>'Input data'!H26</f>
        <v>0.70168319999999995</v>
      </c>
      <c r="I19" s="78">
        <f>'Input data'!I26</f>
        <v>0.69576210000000005</v>
      </c>
      <c r="J19" s="78">
        <f>'Input data'!J26</f>
        <v>0.68984100000000004</v>
      </c>
      <c r="K19" s="78">
        <f>'Input data'!K26</f>
        <v>0.68391979999999997</v>
      </c>
      <c r="L19" s="78">
        <f>'Input data'!L26</f>
        <v>0.67799869999999995</v>
      </c>
      <c r="M19" s="78">
        <f>'Input data'!M26</f>
        <v>0.67207760000000005</v>
      </c>
      <c r="N19" s="78">
        <f>'Input data'!N26</f>
        <v>0.66615650000000004</v>
      </c>
      <c r="O19" s="78">
        <f>'Input data'!O26</f>
        <v>0.66023529999999997</v>
      </c>
      <c r="P19" s="78">
        <f>'Input data'!P26</f>
        <v>0.65431419999999996</v>
      </c>
      <c r="Q19" s="78">
        <f>'Input data'!Q26</f>
        <v>0.64839310000000006</v>
      </c>
      <c r="R19" s="78">
        <f>'Input data'!R26</f>
        <v>0.64247200000000004</v>
      </c>
      <c r="S19" s="78">
        <f>'Input data'!S26</f>
        <v>0.63655079999999997</v>
      </c>
      <c r="T19" s="78">
        <f>'Input data'!T26</f>
        <v>0.63062969999999996</v>
      </c>
      <c r="U19" s="78">
        <f>'Input data'!U26</f>
        <v>0.62470870000000001</v>
      </c>
      <c r="V19" s="78">
        <f>'Input data'!V26</f>
        <v>0.61878750000000005</v>
      </c>
      <c r="W19" s="78">
        <f>'Input data'!W26</f>
        <v>0.61286640000000003</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57</v>
      </c>
    </row>
    <row r="22" spans="1:50" ht="10.5" customHeight="1" x14ac:dyDescent="0.2">
      <c r="B22" s="19" t="s">
        <v>58</v>
      </c>
    </row>
    <row r="23" spans="1:50" x14ac:dyDescent="0.2">
      <c r="B23" s="15" t="s">
        <v>39</v>
      </c>
      <c r="C23" s="23">
        <f>'Input data'!C31</f>
        <v>42.795000000000002</v>
      </c>
      <c r="D23" s="77">
        <f>'Baseline NFPC'!D22</f>
        <v>43.880933823749999</v>
      </c>
      <c r="E23" s="77">
        <f>'Baseline NFPC'!E22</f>
        <v>44.031126105210021</v>
      </c>
      <c r="F23" s="77">
        <f>'Baseline NFPC'!F22</f>
        <v>44.985617005713365</v>
      </c>
      <c r="G23" s="23">
        <f>IF(AND(G50&gt;1,F50&gt;1),
G27*(1+('Baseline NFPC'!G$29+G51)/100)-F23*$C$47*(G12-F12)/100,
IF(G50=1,G27,F23*(1+G52/100)))</f>
        <v>46.145356558812573</v>
      </c>
      <c r="H23" s="23">
        <f>IF(AND(H50&gt;1,G50&gt;1),
H27*(1+('Baseline NFPC'!H$29+H51)/100)-G23*$C$47*(H12-G12)/100,
IF(H50=1,H27,G23*(1+H52/100)))</f>
        <v>47.405029737462655</v>
      </c>
      <c r="I23" s="23">
        <f>IF(AND(I50&gt;1,H50&gt;1),
I27*(1+I51/100)-H23*$C$47*(I12-H12)/100,
IF(I50=1,I27,H23*(1+I52/100)))</f>
        <v>48.615578276480974</v>
      </c>
      <c r="J23" s="23">
        <f t="shared" ref="J23:W23" si="2">IF(AND(J50&gt;1,I50&gt;1),
J27*(1+J51/100)-I23*$C$47*(J12-I12)/100,
IF(J50=1,J27,I23*(1+J52/100)))</f>
        <v>49.624288148935428</v>
      </c>
      <c r="K23" s="23">
        <f t="shared" si="2"/>
        <v>50.664044121392443</v>
      </c>
      <c r="L23" s="23">
        <f t="shared" si="2"/>
        <v>51.668997757580961</v>
      </c>
      <c r="M23" s="23">
        <f t="shared" si="2"/>
        <v>52.665207756045575</v>
      </c>
      <c r="N23" s="23">
        <f t="shared" si="2"/>
        <v>53.494339821092488</v>
      </c>
      <c r="O23" s="23">
        <f t="shared" si="2"/>
        <v>54.334687219832617</v>
      </c>
      <c r="P23" s="23">
        <f t="shared" si="2"/>
        <v>55.21569157228987</v>
      </c>
      <c r="Q23" s="23">
        <f t="shared" si="2"/>
        <v>56.079583030863937</v>
      </c>
      <c r="R23" s="23">
        <f t="shared" si="2"/>
        <v>56.925102755361898</v>
      </c>
      <c r="S23" s="23">
        <f t="shared" si="2"/>
        <v>57.751000039437045</v>
      </c>
      <c r="T23" s="23">
        <f t="shared" si="2"/>
        <v>58.542885217037806</v>
      </c>
      <c r="U23" s="23">
        <f t="shared" si="2"/>
        <v>59.291073242402042</v>
      </c>
      <c r="V23" s="23">
        <f t="shared" si="2"/>
        <v>59.983219444111874</v>
      </c>
      <c r="W23" s="23">
        <f t="shared" si="2"/>
        <v>60.640621733078866</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6.3800220000000003</v>
      </c>
      <c r="D24" s="77">
        <f>'Baseline NFPC'!D23</f>
        <v>2.537525</v>
      </c>
      <c r="E24" s="77">
        <f>'Baseline NFPC'!E23</f>
        <v>0.34227229999999997</v>
      </c>
      <c r="F24" s="77">
        <f>'Baseline NFPC'!F23</f>
        <v>2.167764</v>
      </c>
      <c r="G24" s="23">
        <f t="shared" ref="G24:S24" si="3">100*(G23/F23-1)</f>
        <v>2.5780230000000071</v>
      </c>
      <c r="H24" s="23">
        <f t="shared" si="3"/>
        <v>2.7297940087311234</v>
      </c>
      <c r="I24" s="23">
        <f t="shared" si="3"/>
        <v>2.5536288991327538</v>
      </c>
      <c r="J24" s="23">
        <f t="shared" si="3"/>
        <v>2.0748696368843689</v>
      </c>
      <c r="K24" s="23">
        <f t="shared" si="3"/>
        <v>2.0952561965955852</v>
      </c>
      <c r="L24" s="23">
        <f t="shared" si="3"/>
        <v>1.9835637948297569</v>
      </c>
      <c r="M24" s="23">
        <f t="shared" si="3"/>
        <v>1.9280613940657387</v>
      </c>
      <c r="N24" s="23">
        <f t="shared" si="3"/>
        <v>1.5743449999999992</v>
      </c>
      <c r="O24" s="23">
        <f t="shared" si="3"/>
        <v>1.5709090000000092</v>
      </c>
      <c r="P24" s="23">
        <f t="shared" si="3"/>
        <v>1.6214399999999962</v>
      </c>
      <c r="Q24" s="23">
        <f t="shared" si="3"/>
        <v>1.5645759999999953</v>
      </c>
      <c r="R24" s="23">
        <f t="shared" si="3"/>
        <v>1.5077140000000044</v>
      </c>
      <c r="S24" s="23">
        <f t="shared" si="3"/>
        <v>1.4508490000000096</v>
      </c>
      <c r="T24" s="23">
        <f>100*(T23/S23-1)</f>
        <v>1.3712060000000026</v>
      </c>
      <c r="U24" s="23">
        <f t="shared" ref="U24" si="4">100*(U23/T23-1)</f>
        <v>1.2780170000000091</v>
      </c>
      <c r="V24" s="23">
        <f t="shared" ref="V24" si="5">100*(V23/U23-1)</f>
        <v>1.1673700000000009</v>
      </c>
      <c r="W24" s="23">
        <f t="shared" ref="W24" si="6">100*(W23/V23-1)</f>
        <v>1.0959769999999924</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8"/>
      <c r="B26" s="19" t="s">
        <v>59</v>
      </c>
      <c r="C26" s="157"/>
      <c r="D26" s="157"/>
      <c r="E26" s="157"/>
      <c r="F26" s="157"/>
    </row>
    <row r="27" spans="1:50" x14ac:dyDescent="0.2">
      <c r="B27" s="15" t="s">
        <v>39</v>
      </c>
      <c r="C27" s="23">
        <f>'Input data'!C34</f>
        <v>41.97242</v>
      </c>
      <c r="D27" s="77">
        <f>+C27*(1+'Input data'!D33/100)</f>
        <v>43.490069675189204</v>
      </c>
      <c r="E27" s="77">
        <f>+D27*(1+'Input data'!E33/100)</f>
        <v>44.943668282091132</v>
      </c>
      <c r="F27" s="77">
        <f>+E27*(1+'Input data'!F33/100)</f>
        <v>46.006950979549032</v>
      </c>
      <c r="G27" s="23">
        <f>+F27*(1+'Input data'!G33/100)</f>
        <v>47.158050873960974</v>
      </c>
      <c r="H27" s="23">
        <f>+G27*(1+'Input data'!H33/100)</f>
        <v>48.159376631388142</v>
      </c>
      <c r="I27" s="23">
        <f>+H27*(1+'Input data'!I33/100)</f>
        <v>49.186083492230111</v>
      </c>
      <c r="J27" s="23">
        <f>+I27*(1+'Input data'!J33/100)</f>
        <v>50.069797065953303</v>
      </c>
      <c r="K27" s="23">
        <f>+J27*(1+'Input data'!K33/100)</f>
        <v>50.966368382229</v>
      </c>
      <c r="L27" s="23">
        <f>+K27*(1+'Input data'!L33/100)</f>
        <v>51.822699697486691</v>
      </c>
      <c r="M27" s="23">
        <f>+L27*(1+'Input data'!M33/100)</f>
        <v>52.665207756045575</v>
      </c>
      <c r="N27" s="23">
        <f>+M27*(1+'Input data'!N33/100)</f>
        <v>53.494339294440415</v>
      </c>
      <c r="O27" s="23">
        <f>+N27*(1+'Input data'!O33/100)</f>
        <v>54.334685080077143</v>
      </c>
      <c r="P27" s="23">
        <f>+O27*(1+'Input data'!P33/100)</f>
        <v>55.21568994118639</v>
      </c>
      <c r="Q27" s="23">
        <f>+P27*(1+'Input data'!Q33/100)</f>
        <v>56.079581926397502</v>
      </c>
      <c r="R27" s="23">
        <f>+Q27*(1+'Input data'!R33/100)</f>
        <v>56.925101634243269</v>
      </c>
      <c r="S27" s="23">
        <f>+R27*(1+'Input data'!S33/100)</f>
        <v>57.750999471303693</v>
      </c>
      <c r="T27" s="23">
        <f>+S27*(1+'Input data'!T33/100)</f>
        <v>58.542883486094183</v>
      </c>
      <c r="U27" s="23">
        <f>+T27*(1+'Input data'!U33/100)</f>
        <v>59.29107324562316</v>
      </c>
      <c r="V27" s="23">
        <f>+U27*(1+'Input data'!V33/100)</f>
        <v>59.983219447370594</v>
      </c>
      <c r="W27" s="23">
        <f>+V27*(1+'Input data'!W33/100)</f>
        <v>60.640621736373298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60</v>
      </c>
      <c r="C30" s="23">
        <f>100*(C23/C27-1)</f>
        <v>1.9598107519175789</v>
      </c>
      <c r="D30" s="77">
        <f t="shared" ref="D30:T30" si="7">100*(D23/D27-1)</f>
        <v>0.89874344069809098</v>
      </c>
      <c r="E30" s="77">
        <f t="shared" si="7"/>
        <v>-2.030413207826065</v>
      </c>
      <c r="F30" s="77">
        <f t="shared" si="7"/>
        <v>-2.2199557938313963</v>
      </c>
      <c r="G30" s="23">
        <f t="shared" si="7"/>
        <v>-2.1474473528497295</v>
      </c>
      <c r="H30" s="23">
        <f t="shared" si="7"/>
        <v>-1.5663551870682579</v>
      </c>
      <c r="I30" s="23">
        <f t="shared" si="7"/>
        <v>-1.1598915287476808</v>
      </c>
      <c r="J30" s="23">
        <f t="shared" si="7"/>
        <v>-0.88977575928865793</v>
      </c>
      <c r="K30" s="23">
        <f t="shared" si="7"/>
        <v>-0.59318383952577936</v>
      </c>
      <c r="L30" s="23">
        <f t="shared" si="7"/>
        <v>-0.29659191976287858</v>
      </c>
      <c r="M30" s="23">
        <f>100*(M23/M27-1)</f>
        <v>0</v>
      </c>
      <c r="N30" s="23">
        <f t="shared" si="7"/>
        <v>9.8450056995602608E-7</v>
      </c>
      <c r="O30" s="23">
        <f t="shared" si="7"/>
        <v>3.9381022887141626E-6</v>
      </c>
      <c r="P30" s="23">
        <f t="shared" si="7"/>
        <v>2.9540579538078759E-6</v>
      </c>
      <c r="Q30" s="23">
        <f t="shared" si="7"/>
        <v>1.9694626818278493E-6</v>
      </c>
      <c r="R30" s="23">
        <f t="shared" si="7"/>
        <v>1.9694626818278493E-6</v>
      </c>
      <c r="S30" s="23">
        <f t="shared" si="7"/>
        <v>9.8376367052566138E-7</v>
      </c>
      <c r="T30" s="23">
        <f t="shared" si="7"/>
        <v>2.9567105652716918E-6</v>
      </c>
      <c r="U30" s="23">
        <f t="shared" ref="U30:W30" si="8">100*(U23/U27-1)</f>
        <v>-5.432720939779756E-9</v>
      </c>
      <c r="V30" s="23">
        <f t="shared" si="8"/>
        <v>-5.432720939779756E-9</v>
      </c>
      <c r="W30" s="23">
        <f t="shared" si="8"/>
        <v>-5.4327098375495098E-9</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61</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9">100*((1+C24/100)*(1+C42/100)-1)</f>
        <v>12.762560561345659</v>
      </c>
      <c r="D33" s="2">
        <f t="shared" si="9"/>
        <v>19.011767722887484</v>
      </c>
      <c r="E33" s="2">
        <f t="shared" si="9"/>
        <v>9.3949002478024966</v>
      </c>
      <c r="F33" s="2">
        <f>100*((1+F24/100)*(1+F42/100)-1)</f>
        <v>5.8608732491900017</v>
      </c>
      <c r="G33" s="1">
        <f>100*((1+G24/100)*(1+G42/100)-1)</f>
        <v>6.1403392476010232</v>
      </c>
      <c r="H33" s="1">
        <f t="shared" si="9"/>
        <v>4.9926468092140519</v>
      </c>
      <c r="I33" s="1">
        <f t="shared" si="9"/>
        <v>4.8314810087328297</v>
      </c>
      <c r="J33" s="1">
        <f t="shared" si="9"/>
        <v>4.3608794690348285</v>
      </c>
      <c r="K33" s="1">
        <f t="shared" si="9"/>
        <v>4.4005179481726664</v>
      </c>
      <c r="L33" s="1">
        <f t="shared" si="9"/>
        <v>4.3050783773831869</v>
      </c>
      <c r="M33" s="1">
        <f t="shared" si="9"/>
        <v>4.2670771152090392</v>
      </c>
      <c r="N33" s="1">
        <f t="shared" si="9"/>
        <v>3.9239431954785964</v>
      </c>
      <c r="O33" s="1">
        <f t="shared" si="9"/>
        <v>3.9391265380440021</v>
      </c>
      <c r="P33" s="1">
        <f t="shared" si="9"/>
        <v>4.0095438400000072</v>
      </c>
      <c r="Q33" s="1">
        <f t="shared" si="9"/>
        <v>3.9335697352000043</v>
      </c>
      <c r="R33" s="1">
        <f t="shared" si="9"/>
        <v>3.8576175791000145</v>
      </c>
      <c r="S33" s="1">
        <f t="shared" si="9"/>
        <v>3.7816822557749985</v>
      </c>
      <c r="T33" s="1">
        <f t="shared" si="9"/>
        <v>3.6824694968000005</v>
      </c>
      <c r="U33" s="1">
        <f>100*((1+U24/100)*(1+U42/100)-1)</f>
        <v>3.5694321346249946</v>
      </c>
      <c r="V33" s="1">
        <f t="shared" si="9"/>
        <v>3.4385774565000027</v>
      </c>
      <c r="W33" s="1">
        <f t="shared" si="9"/>
        <v>3.3478898876750041</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110</v>
      </c>
    </row>
    <row r="36" spans="2:51" x14ac:dyDescent="0.2">
      <c r="B36" s="15" t="s">
        <v>41</v>
      </c>
      <c r="C36" s="23">
        <f>'Input data'!C37</f>
        <v>1.1161000000000001</v>
      </c>
      <c r="D36" s="77">
        <f>'Input data'!D37</f>
        <v>0.91907830000000001</v>
      </c>
      <c r="E36" s="77">
        <f>'Input data'!E37</f>
        <v>1.699492</v>
      </c>
      <c r="F36" s="77">
        <f>'Input data'!F37</f>
        <v>2.2164999999999999</v>
      </c>
      <c r="G36" s="77">
        <f>'Input data'!G37</f>
        <v>2.5547230000000001</v>
      </c>
      <c r="H36" s="23">
        <f t="shared" ref="H36:W36" si="10">H99</f>
        <v>2.8932796137143195</v>
      </c>
      <c r="I36" s="23">
        <f t="shared" si="10"/>
        <v>2.9559423549637596</v>
      </c>
      <c r="J36" s="23">
        <f t="shared" si="10"/>
        <v>3.0016280918303835</v>
      </c>
      <c r="K36" s="23">
        <f t="shared" si="10"/>
        <v>3.0514426520075948</v>
      </c>
      <c r="L36" s="23">
        <f t="shared" si="10"/>
        <v>3.1072545889112537</v>
      </c>
      <c r="M36" s="23">
        <f t="shared" si="10"/>
        <v>3.1684217186908108</v>
      </c>
      <c r="N36" s="23">
        <f t="shared" si="10"/>
        <v>3.234421180918706</v>
      </c>
      <c r="O36" s="23">
        <f t="shared" si="10"/>
        <v>3.3061296137632215</v>
      </c>
      <c r="P36" s="23">
        <f t="shared" si="10"/>
        <v>3.3829308710229453</v>
      </c>
      <c r="Q36" s="23">
        <f t="shared" si="10"/>
        <v>3.451469358609959</v>
      </c>
      <c r="R36" s="23">
        <f t="shared" si="10"/>
        <v>3.513205650318751</v>
      </c>
      <c r="S36" s="23">
        <f t="shared" si="10"/>
        <v>3.5683555819210486</v>
      </c>
      <c r="T36" s="23">
        <f t="shared" si="10"/>
        <v>3.6171754148881576</v>
      </c>
      <c r="U36" s="23">
        <f t="shared" si="10"/>
        <v>3.6602897389267355</v>
      </c>
      <c r="V36" s="23">
        <f t="shared" si="10"/>
        <v>3.6983245134953737</v>
      </c>
      <c r="W36" s="23">
        <f t="shared" si="10"/>
        <v>3.7318057188341536</v>
      </c>
    </row>
    <row r="37" spans="2:51" x14ac:dyDescent="0.2">
      <c r="B37" s="21" t="s">
        <v>63</v>
      </c>
      <c r="C37" s="1"/>
      <c r="D37" s="2">
        <f>'Input data'!D$39</f>
        <v>0.61</v>
      </c>
      <c r="E37" s="2">
        <f>'Input data'!E$39</f>
        <v>2.88</v>
      </c>
      <c r="F37" s="137">
        <f>'Input data'!F$39</f>
        <v>3.4270849999999999</v>
      </c>
      <c r="G37" s="137">
        <f>'Input data'!G$39</f>
        <v>3.0076990000000001</v>
      </c>
      <c r="H37" s="137">
        <f>'Input data'!H$39</f>
        <v>3.1136879999999998</v>
      </c>
      <c r="I37" s="1">
        <f>'Baseline NFPC'!I36</f>
        <v>3.2113594999999999</v>
      </c>
      <c r="J37" s="1">
        <f>'Baseline NFPC'!J36</f>
        <v>3.3090310000000001</v>
      </c>
      <c r="K37" s="1">
        <f>'Baseline NFPC'!K36</f>
        <v>3.4067025000000002</v>
      </c>
      <c r="L37" s="1">
        <f>'Baseline NFPC'!L36</f>
        <v>3.5043740000000003</v>
      </c>
      <c r="M37" s="1">
        <f>'Baseline NFPC'!M36</f>
        <v>3.6020455000000005</v>
      </c>
      <c r="N37" s="1">
        <f>'Baseline NFPC'!N36</f>
        <v>3.6997170000000006</v>
      </c>
      <c r="O37" s="1">
        <f>'Baseline NFPC'!O36</f>
        <v>3.7973885000000007</v>
      </c>
      <c r="P37" s="178">
        <f>'Baseline NFPC'!P36</f>
        <v>3.89506</v>
      </c>
      <c r="Q37" s="1">
        <f>'Baseline NFPC'!Q36</f>
        <v>3.9003069999999997</v>
      </c>
      <c r="R37" s="1">
        <f>'Baseline NFPC'!R36</f>
        <v>3.905554</v>
      </c>
      <c r="S37" s="1">
        <f>'Baseline NFPC'!S36</f>
        <v>3.9108010000000002</v>
      </c>
      <c r="T37" s="1">
        <f>'Baseline NFPC'!T36</f>
        <v>3.916048</v>
      </c>
      <c r="U37" s="1">
        <f>'Baseline NFPC'!U36</f>
        <v>3.9212949999999998</v>
      </c>
      <c r="V37" s="1">
        <f>'Baseline NFPC'!V36</f>
        <v>3.926542</v>
      </c>
      <c r="W37" s="1">
        <f>'Baseline NFPC'!W36</f>
        <v>3.9317890000000002</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64</v>
      </c>
      <c r="C38" s="1"/>
      <c r="D38" s="2">
        <f>'Input data'!D$38</f>
        <v>0.35</v>
      </c>
      <c r="E38" s="2">
        <f>'Input data'!E$38</f>
        <v>3.43</v>
      </c>
      <c r="F38" s="137">
        <f>'Input data'!F$38</f>
        <v>3.5292500000000002</v>
      </c>
      <c r="G38" s="137">
        <f>'Input data'!G$38</f>
        <v>2.0662500000000001</v>
      </c>
      <c r="H38" s="137">
        <f>'Input data'!H$38</f>
        <v>1.9957499999999999</v>
      </c>
      <c r="I38" s="1">
        <f>'Baseline NFPC'!I37</f>
        <v>2.079285</v>
      </c>
      <c r="J38" s="1">
        <f>'Baseline NFPC'!J37</f>
        <v>2.16282</v>
      </c>
      <c r="K38" s="1">
        <f>'Baseline NFPC'!K37</f>
        <v>2.2463549999999999</v>
      </c>
      <c r="L38" s="1">
        <f>'Baseline NFPC'!L37</f>
        <v>2.3298899999999998</v>
      </c>
      <c r="M38" s="1">
        <f>'Baseline NFPC'!M37</f>
        <v>2.4134249999999997</v>
      </c>
      <c r="N38" s="1">
        <f>'Baseline NFPC'!N37</f>
        <v>2.4969599999999996</v>
      </c>
      <c r="O38" s="1">
        <f>'Baseline NFPC'!O37</f>
        <v>2.5804949999999995</v>
      </c>
      <c r="P38" s="178">
        <f>'Baseline NFPC'!P37</f>
        <v>2.6640299999999999</v>
      </c>
      <c r="Q38" s="1">
        <f>'Baseline NFPC'!Q37</f>
        <v>2.6308284999999998</v>
      </c>
      <c r="R38" s="1">
        <f>'Baseline NFPC'!R37</f>
        <v>2.5976270000000001</v>
      </c>
      <c r="S38" s="1">
        <f>'Baseline NFPC'!S37</f>
        <v>2.5644255</v>
      </c>
      <c r="T38" s="1">
        <f>'Baseline NFPC'!T37</f>
        <v>2.5312239999999999</v>
      </c>
      <c r="U38" s="1">
        <f>'Baseline NFPC'!U37</f>
        <v>2.4980224999999998</v>
      </c>
      <c r="V38" s="1">
        <f>'Baseline NFPC'!V37</f>
        <v>2.4648209999999997</v>
      </c>
      <c r="W38" s="1">
        <f>'Baseline NFPC'!W37</f>
        <v>2.4316195</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65</v>
      </c>
      <c r="C39" s="23">
        <f>'Baseline NFPC'!C38</f>
        <v>8.3575490000000002E-2</v>
      </c>
      <c r="D39" s="23">
        <f>'Baseline NFPC'!D38</f>
        <v>9.4541159999999999E-2</v>
      </c>
      <c r="E39" s="23">
        <f>'Baseline NFPC'!E38</f>
        <v>6.7232780000000006E-2</v>
      </c>
      <c r="F39" s="23">
        <f>'Baseline NFPC'!F38</f>
        <v>0.10127042</v>
      </c>
      <c r="G39" s="23">
        <f>'Baseline NFPC'!G38</f>
        <v>9.9750014999999997E-2</v>
      </c>
      <c r="H39" s="23">
        <f>'Baseline NFPC'!H38</f>
        <v>9.8229609999999995E-2</v>
      </c>
      <c r="I39" s="23">
        <f>'Baseline NFPC'!I38</f>
        <v>9.6709205000000006E-2</v>
      </c>
      <c r="J39" s="23">
        <f>'Baseline NFPC'!J38</f>
        <v>9.5188800000000004E-2</v>
      </c>
      <c r="K39" s="23">
        <f>'Baseline NFPC'!K38</f>
        <v>9.3668395000000002E-2</v>
      </c>
      <c r="L39" s="23">
        <f>'Baseline NFPC'!L38</f>
        <v>9.2147989999999999E-2</v>
      </c>
      <c r="M39" s="23">
        <f>'Baseline NFPC'!M38</f>
        <v>9.0627584999999997E-2</v>
      </c>
      <c r="N39" s="23">
        <f>'Baseline NFPC'!N38</f>
        <v>8.9107180000000008E-2</v>
      </c>
      <c r="O39" s="23">
        <f>'Baseline NFPC'!O38</f>
        <v>8.7586775000000006E-2</v>
      </c>
      <c r="P39" s="23">
        <f>'Baseline NFPC'!P38</f>
        <v>8.6066370000000003E-2</v>
      </c>
      <c r="Q39" s="23">
        <f>'Baseline NFPC'!Q38</f>
        <v>8.6066370000000003E-2</v>
      </c>
      <c r="R39" s="23">
        <f>'Baseline NFPC'!R38</f>
        <v>8.6066370000000003E-2</v>
      </c>
      <c r="S39" s="23">
        <f>'Baseline NFPC'!S38</f>
        <v>8.6066370000000003E-2</v>
      </c>
      <c r="T39" s="23">
        <f>'Baseline NFPC'!T38</f>
        <v>8.6066370000000003E-2</v>
      </c>
      <c r="U39" s="23">
        <f>'Baseline NFPC'!U38</f>
        <v>8.6066370000000003E-2</v>
      </c>
      <c r="V39" s="23">
        <f>'Baseline NFPC'!V38</f>
        <v>8.6066370000000003E-2</v>
      </c>
      <c r="W39" s="23">
        <f>'Baseline NFPC'!W38</f>
        <v>8.6066370000000003E-2</v>
      </c>
    </row>
    <row r="40" spans="2:51" x14ac:dyDescent="0.2">
      <c r="C40" s="1"/>
      <c r="D40" s="1"/>
      <c r="E40" s="81"/>
      <c r="F40" s="81"/>
      <c r="G40" s="81"/>
      <c r="H40" s="81"/>
      <c r="I40" s="81"/>
      <c r="J40" s="81"/>
      <c r="K40" s="81"/>
      <c r="L40" s="81"/>
      <c r="M40" s="81"/>
      <c r="N40" s="81"/>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66</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111</v>
      </c>
      <c r="C42" s="1">
        <f>'Input data'!C42</f>
        <v>5.9997530000000001</v>
      </c>
      <c r="D42" s="2">
        <f>'Input data'!D42</f>
        <v>16.066549999999999</v>
      </c>
      <c r="E42" s="2">
        <f>'Input data'!E42</f>
        <v>9.0217489999999998</v>
      </c>
      <c r="F42" s="2">
        <f>'Input data'!F42</f>
        <v>3.6147499999999999</v>
      </c>
      <c r="G42" s="2">
        <f>'Input data'!G42</f>
        <v>3.4727869999999998</v>
      </c>
      <c r="H42" s="2">
        <f>'Input data'!H42</f>
        <v>2.2027230000000002</v>
      </c>
      <c r="I42" s="1">
        <f>'Baseline NFPC'!I41</f>
        <v>2.2211326250000001</v>
      </c>
      <c r="J42" s="1">
        <f>'Baseline NFPC'!J41</f>
        <v>2.2395422500000004</v>
      </c>
      <c r="K42" s="1">
        <f>'Baseline NFPC'!K41</f>
        <v>2.2579518750000003</v>
      </c>
      <c r="L42" s="1">
        <f>'Baseline NFPC'!L41</f>
        <v>2.2763615000000001</v>
      </c>
      <c r="M42" s="1">
        <f>'Baseline NFPC'!M41</f>
        <v>2.294771125</v>
      </c>
      <c r="N42" s="1">
        <f>'Baseline NFPC'!N41</f>
        <v>2.3131807499999999</v>
      </c>
      <c r="O42" s="1">
        <f>'Baseline NFPC'!O41</f>
        <v>2.3315903750000002</v>
      </c>
      <c r="P42" s="178">
        <f>'Baseline NFPC'!P41</f>
        <v>2.35</v>
      </c>
      <c r="Q42" s="1">
        <f>'Baseline NFPC'!Q41</f>
        <v>2.3325</v>
      </c>
      <c r="R42" s="1">
        <f>'Baseline NFPC'!R41</f>
        <v>2.3149999999999999</v>
      </c>
      <c r="S42" s="1">
        <f>'Baseline NFPC'!S41</f>
        <v>2.2974999999999999</v>
      </c>
      <c r="T42" s="1">
        <f>'Baseline NFPC'!T41</f>
        <v>2.2800000000000002</v>
      </c>
      <c r="U42" s="1">
        <f>'Baseline NFPC'!U41</f>
        <v>2.2625000000000002</v>
      </c>
      <c r="V42" s="1">
        <f>'Baseline NFPC'!V41</f>
        <v>2.2450000000000001</v>
      </c>
      <c r="W42" s="1">
        <f>'Baseline NFPC'!W41</f>
        <v>2.2275</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67</v>
      </c>
      <c r="C43" s="1">
        <f>'Baseline NFPC'!C42</f>
        <v>1</v>
      </c>
      <c r="D43" s="1">
        <f>'Baseline NFPC'!D42</f>
        <v>1</v>
      </c>
      <c r="E43" s="1">
        <f>'Baseline NFPC'!E42</f>
        <v>1</v>
      </c>
      <c r="F43" s="1">
        <f>'Baseline NFPC'!F42</f>
        <v>1</v>
      </c>
      <c r="G43" s="1">
        <f>'Baseline NFPC'!G42</f>
        <v>0.99999990000000005</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68</v>
      </c>
      <c r="C45" s="53"/>
    </row>
    <row r="46" spans="2:51" x14ac:dyDescent="0.2">
      <c r="C46" s="25"/>
    </row>
    <row r="47" spans="2:51" x14ac:dyDescent="0.2">
      <c r="B47" s="39" t="s">
        <v>46</v>
      </c>
      <c r="C47" s="40">
        <f>'Input data'!C49</f>
        <v>0.75</v>
      </c>
    </row>
    <row r="48" spans="2:51" x14ac:dyDescent="0.2">
      <c r="B48" s="41" t="s">
        <v>182</v>
      </c>
      <c r="C48" s="42">
        <f>'Input data'!C50</f>
        <v>0.39900000000000002</v>
      </c>
    </row>
    <row r="49" spans="2:48" x14ac:dyDescent="0.2">
      <c r="C49" s="43"/>
    </row>
    <row r="50" spans="2:48" outlineLevel="1" x14ac:dyDescent="0.2">
      <c r="B50" s="15" t="s">
        <v>69</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IF(AND(ABS((G12-F12)-('Baseline NFPC'!G12-'Baseline NFPC'!F12))&gt;0.0001,ABS(G12-F12)&gt;0.0001,G$10&gt;$C$5),4,IF(F50=4,3,IF(F50=3,2,IF(F50=2,1,0))))</f>
        <v>4</v>
      </c>
      <c r="H50" s="23">
        <f>IF(AND(ABS((H12-G12)-('Baseline NFPC'!H12-'Baseline NFPC'!G12))&gt;0.0001,ABS(H12-G12)&gt;0.0001,H$10&gt;$C$5),4,IF(G50=4,3,IF(G50=3,2,IF(G50=2,1,0))))</f>
        <v>4</v>
      </c>
      <c r="I50" s="23">
        <f>IF(AND(ABS((I12-H12)-('Baseline NFPC'!I12-'Baseline NFPC'!H12))&gt;0.0001,ABS(I12-H12)&gt;0.0001,I$10&gt;$C$5),4,IF(H50=4,3,IF(H50=3,2,IF(H50=2,1,0))))</f>
        <v>4</v>
      </c>
      <c r="J50" s="23">
        <f>IF(AND(ABS((J12-I12)-('Baseline NFPC'!J12-'Baseline NFPC'!I12))&gt;0.0001,ABS(J12-I12)&gt;0.0001,J$10&gt;$C$5),4,IF(I50=4,3,IF(I50=3,2,IF(I50=2,1,0))))</f>
        <v>4</v>
      </c>
      <c r="K50" s="23">
        <f>IF(AND(ABS((K12-J12)-('Baseline NFPC'!K12-'Baseline NFPC'!J12))&gt;0.0001,ABS(K12-J12)&gt;0.0001,K$10&gt;$C$5),4,IF(J50=4,3,IF(J50=3,2,IF(J50=2,1,0))))</f>
        <v>3</v>
      </c>
      <c r="L50" s="23">
        <f>IF(AND(ABS((L12-K12)-('Baseline NFPC'!L12-'Baseline NFPC'!K12))&gt;0.0001,ABS(L12-K12)&gt;0.0001,L$10&gt;$C$5),4,IF(K50=4,3,IF(K50=3,2,IF(K50=2,1,0))))</f>
        <v>2</v>
      </c>
      <c r="M50" s="23">
        <f>IF(AND(ABS((M12-L12)-('Baseline NFPC'!M12-'Baseline NFPC'!L12))&gt;0.0001,ABS(M12-L12)&gt;0.0001,M$10&gt;$C$5),4,IF(L50=4,3,IF(L50=3,2,IF(L50=2,1,0))))</f>
        <v>1</v>
      </c>
      <c r="N50" s="23">
        <f>IF(AND(ABS((N12-M12)-('Baseline NFPC'!N12-'Baseline NFPC'!M12))&gt;0.0001,ABS(N12-M12)&gt;0.0001,N$10&gt;$C$5),4,IF(M50=4,3,IF(M50=3,2,IF(M50=2,1,0))))</f>
        <v>0</v>
      </c>
      <c r="O50" s="23">
        <f>IF(AND(ABS((O12-N12)-('Baseline NFPC'!O12-'Baseline NFPC'!N12))&gt;0.0001,ABS(O12-N12)&gt;0.0001,O$10&gt;$C$5),4,IF(N50=4,3,IF(N50=3,2,IF(N50=2,1,0))))</f>
        <v>0</v>
      </c>
      <c r="P50" s="23">
        <f>IF(AND(ABS((P12-O12)-('Baseline NFPC'!P12-'Baseline NFPC'!O12))&gt;0.0001,ABS(P12-O12)&gt;0.0001,P$10&gt;$C$5),4,IF(O50=4,3,IF(O50=3,2,IF(O50=2,1,0))))</f>
        <v>0</v>
      </c>
      <c r="Q50" s="23">
        <f>IF(AND(ABS((Q12-P12)-('Baseline NFPC'!Q12-'Baseline NFPC'!P12))&gt;0.0001,ABS(Q12-P12)&gt;0.0001,Q$10&gt;$C$5),4,IF(P50=4,3,IF(P50=3,2,IF(P50=2,1,0))))</f>
        <v>0</v>
      </c>
      <c r="R50" s="23">
        <f>IF(AND(ABS((R12-Q12)-('Baseline NFPC'!R12-'Baseline NFPC'!Q12))&gt;0.0001,ABS(R12-Q12)&gt;0.0001,R$10&gt;$C$5),4,IF(Q50=4,3,IF(Q50=3,2,IF(Q50=2,1,0))))</f>
        <v>0</v>
      </c>
      <c r="S50" s="23">
        <f>IF(AND(ABS((S12-R12)-('Baseline NFPC'!S12-'Baseline NFPC'!R12))&gt;0.0001,ABS(S12-R12)&gt;0.0001,S$10&gt;$C$5),4,IF(R50=4,3,IF(R50=3,2,IF(R50=2,1,0))))</f>
        <v>0</v>
      </c>
      <c r="T50" s="23">
        <f>IF(AND(ABS((T12-S12)-('Baseline NFPC'!T12-'Baseline NFPC'!S12))&gt;0.0001,ABS(T12-S12)&gt;0.0001,T$10&gt;$C$5),4,IF(S50=4,3,IF(S50=3,2,IF(S50=2,1,0))))</f>
        <v>0</v>
      </c>
      <c r="U50" s="23">
        <f>IF(AND(ABS((U12-T12)-('Baseline NFPC'!U12-'Baseline NFPC'!T12))&gt;0.0001,ABS(U12-T12)&gt;0.0001,U$10&gt;$C$5),4,IF(T50=4,3,IF(T50=3,2,IF(T50=2,1,0))))</f>
        <v>0</v>
      </c>
      <c r="V50" s="23">
        <f>IF(AND(ABS((V12-U12)-('Baseline NFPC'!V12-'Baseline NFPC'!U12))&gt;0.0001,ABS(V12-U12)&gt;0.0001,V$10&gt;$C$5),4,IF(U50=4,3,IF(U50=3,2,IF(U50=2,1,0))))</f>
        <v>0</v>
      </c>
      <c r="W50" s="23">
        <f>IF(AND(ABS((W12-V12)-('Baseline NFPC'!W12-'Baseline NFPC'!V12))&gt;0.0001,ABS(W12-V12)&gt;0.0001,W$10&gt;$C$5),4,IF(V50=4,3,IF(V50=3,2,IF(V50=2,1,0))))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70</v>
      </c>
      <c r="C51" s="23">
        <v>0</v>
      </c>
      <c r="D51" s="23">
        <v>0</v>
      </c>
      <c r="E51" s="23">
        <f>IF(D50=4,2/3*(D30-'Baseline NFPC'!D29),IF(D50=3,1/3*(C30-'Baseline NFPC'!C29),0))</f>
        <v>0</v>
      </c>
      <c r="F51" s="23">
        <f>IF(E50=4,2/3*(E30-'Baseline NFPC'!E29),IF(E50=3,1/3*(D30-'Baseline NFPC'!D29),0))</f>
        <v>0</v>
      </c>
      <c r="G51" s="23">
        <f>IF(F50=4,2/3*(F30-'Baseline NFPC'!F29),IF(F50=3,1/3*(E30-'Baseline NFPC'!E29),0))</f>
        <v>0</v>
      </c>
      <c r="H51" s="23">
        <f>IF(G50=4,2/3*(G30-'Baseline NFPC'!G29),IF(G50=3,1/3*(F30-'Baseline NFPC'!F29),0))</f>
        <v>-7.6314633318393568E-2</v>
      </c>
      <c r="I51" s="23">
        <f>IF(H50=4,2/3*H30,IF(H50=3,1/3*G30,0))</f>
        <v>-1.0442367913788386</v>
      </c>
      <c r="J51" s="23">
        <f t="shared" ref="J51:W51" si="11">IF(I50=4,2/3*I30,IF(I50=3,1/3*H30,0))</f>
        <v>-0.77326101916512047</v>
      </c>
      <c r="K51" s="23">
        <f t="shared" si="11"/>
        <v>-0.59318383952577192</v>
      </c>
      <c r="L51" s="23">
        <f t="shared" si="11"/>
        <v>-0.29659191976288596</v>
      </c>
      <c r="M51" s="23">
        <f t="shared" si="11"/>
        <v>0</v>
      </c>
      <c r="N51" s="23">
        <f t="shared" si="11"/>
        <v>0</v>
      </c>
      <c r="O51" s="23">
        <f t="shared" si="11"/>
        <v>0</v>
      </c>
      <c r="P51" s="23">
        <f t="shared" si="11"/>
        <v>0</v>
      </c>
      <c r="Q51" s="23">
        <f t="shared" si="11"/>
        <v>0</v>
      </c>
      <c r="R51" s="23">
        <f t="shared" si="11"/>
        <v>0</v>
      </c>
      <c r="S51" s="23">
        <f t="shared" si="11"/>
        <v>0</v>
      </c>
      <c r="T51" s="23">
        <f t="shared" si="11"/>
        <v>0</v>
      </c>
      <c r="U51" s="23">
        <f t="shared" si="11"/>
        <v>0</v>
      </c>
      <c r="V51" s="23">
        <f t="shared" si="11"/>
        <v>0</v>
      </c>
      <c r="W51" s="23">
        <f t="shared" si="11"/>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71</v>
      </c>
      <c r="C52" s="23"/>
      <c r="D52" s="23">
        <f>'Input data'!D30-$C$47*((D12-C12)-('Input data'!D13-'Input data'!C13))</f>
        <v>2.537525</v>
      </c>
      <c r="E52" s="23">
        <f>'Input data'!E30-$C$47*((E12-D12)-('Input data'!E13-'Input data'!D13))</f>
        <v>0.34227229999999997</v>
      </c>
      <c r="F52" s="23">
        <f>'Input data'!F30-$C$47*((F12-E12)-('Input data'!F13-'Input data'!E13))</f>
        <v>2.167764</v>
      </c>
      <c r="G52" s="23">
        <f>'Input data'!G30-$C$47*(G12-F12)</f>
        <v>2.578023</v>
      </c>
      <c r="H52" s="23">
        <f>'Input data'!H30-$C$47*(H12-G12)</f>
        <v>2.6891689999999997</v>
      </c>
      <c r="I52" s="23">
        <f>'Input data'!I30-$C$47*(I12-H12)</f>
        <v>2.4865499999999998</v>
      </c>
      <c r="J52" s="23">
        <f>'Input data'!J30-$C$47*(J12-I12)</f>
        <v>2.1475809999999997</v>
      </c>
      <c r="K52" s="23">
        <f>'Input data'!K30-$C$47*(K12-J12)</f>
        <v>2.25936</v>
      </c>
      <c r="L52" s="23">
        <f>'Input data'!L30-$C$47*(L12-K12)</f>
        <v>1.680188</v>
      </c>
      <c r="M52" s="23">
        <f>'Input data'!M30-$C$47*(M12-L12)</f>
        <v>1.625748</v>
      </c>
      <c r="N52" s="23">
        <f>'Input data'!N30-$C$47*(N12-M12)</f>
        <v>1.5743450000000001</v>
      </c>
      <c r="O52" s="23">
        <f>'Input data'!O30-$C$47*(O12-N12)</f>
        <v>1.5709090000000001</v>
      </c>
      <c r="P52" s="23">
        <f>'Input data'!P30-$C$47*(P12-O12)</f>
        <v>1.62144</v>
      </c>
      <c r="Q52" s="23">
        <f>'Input data'!Q30-$C$47*(Q12-P12)</f>
        <v>1.564576</v>
      </c>
      <c r="R52" s="23">
        <f>'Input data'!R30-$C$47*(R12-Q12)</f>
        <v>1.507714</v>
      </c>
      <c r="S52" s="23">
        <f>'Input data'!S30-$C$47*(S12-R12)</f>
        <v>1.4508490000000001</v>
      </c>
      <c r="T52" s="23">
        <f>'Input data'!T30-$C$47*(T12-S12)</f>
        <v>1.3712059999999999</v>
      </c>
      <c r="U52" s="23">
        <f>'Input data'!U30-$C$47*(U12-T12)</f>
        <v>1.278017</v>
      </c>
      <c r="V52" s="23">
        <f>'Input data'!V30-$C$47*(V12-U12)</f>
        <v>1.16737</v>
      </c>
      <c r="W52" s="23">
        <f>'Input data'!W30-$C$47*(W12-V12)</f>
        <v>1.095977</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72</v>
      </c>
      <c r="C54" s="54"/>
      <c r="E54" s="55"/>
      <c r="F54" s="54"/>
    </row>
    <row r="55" spans="2:48" outlineLevel="1" x14ac:dyDescent="0.2">
      <c r="B55" s="30"/>
      <c r="C55" s="18"/>
      <c r="E55" s="31"/>
      <c r="F55" s="18"/>
    </row>
    <row r="56" spans="2:48" outlineLevel="1" x14ac:dyDescent="0.2">
      <c r="B56" s="65"/>
      <c r="C56" s="66">
        <v>2021</v>
      </c>
      <c r="D56" s="66">
        <v>2022</v>
      </c>
      <c r="E56" s="66">
        <v>2023</v>
      </c>
      <c r="F56" s="66">
        <v>2024</v>
      </c>
      <c r="G56" s="66">
        <v>2025</v>
      </c>
      <c r="H56" s="66">
        <v>2026</v>
      </c>
      <c r="I56" s="66">
        <v>2027</v>
      </c>
      <c r="J56" s="66">
        <v>2028</v>
      </c>
      <c r="K56" s="66">
        <v>2029</v>
      </c>
      <c r="L56" s="66">
        <v>2030</v>
      </c>
      <c r="M56" s="66">
        <v>2031</v>
      </c>
      <c r="N56" s="66">
        <v>2032</v>
      </c>
      <c r="O56" s="66">
        <v>2033</v>
      </c>
      <c r="P56" s="66">
        <v>2034</v>
      </c>
      <c r="Q56" s="66">
        <v>2035</v>
      </c>
      <c r="R56" s="66">
        <v>2036</v>
      </c>
      <c r="S56" s="66">
        <v>2037</v>
      </c>
      <c r="T56" s="66">
        <v>2038</v>
      </c>
      <c r="U56" s="66">
        <v>2039</v>
      </c>
      <c r="V56" s="66">
        <v>2040</v>
      </c>
      <c r="W56" s="66">
        <v>2041</v>
      </c>
    </row>
    <row r="57" spans="2:48" ht="10.5" customHeight="1" outlineLevel="1" x14ac:dyDescent="0.2">
      <c r="B57" s="67" t="s">
        <v>73</v>
      </c>
      <c r="C57" s="32">
        <f>+'Input data'!C12</f>
        <v>43.287930000000003</v>
      </c>
      <c r="D57" s="32">
        <f>+C57+D58</f>
        <v>38.058251267161467</v>
      </c>
      <c r="E57" s="32">
        <f>+D57+E58</f>
        <v>37.344895037084065</v>
      </c>
      <c r="F57" s="32">
        <f>+E57+F58</f>
        <v>38.25865969882279</v>
      </c>
      <c r="G57" s="32">
        <f>+F57+G58</f>
        <v>40.74877946072607</v>
      </c>
      <c r="H57" s="32">
        <f t="shared" ref="H57:S57" si="12">+G57+H58</f>
        <v>43.648668912354275</v>
      </c>
      <c r="I57" s="32">
        <f t="shared" si="12"/>
        <v>43.220346968472072</v>
      </c>
      <c r="J57" s="32">
        <f t="shared" si="12"/>
        <v>42.742241902433307</v>
      </c>
      <c r="K57" s="32">
        <f t="shared" si="12"/>
        <v>42.335642472219156</v>
      </c>
      <c r="L57" s="32">
        <f t="shared" si="12"/>
        <v>42.060487915245872</v>
      </c>
      <c r="M57" s="32">
        <f t="shared" si="12"/>
        <v>41.901081795148514</v>
      </c>
      <c r="N57" s="32">
        <f t="shared" si="12"/>
        <v>42.10262670661902</v>
      </c>
      <c r="O57" s="32">
        <f t="shared" si="12"/>
        <v>42.518341842453523</v>
      </c>
      <c r="P57" s="32">
        <f t="shared" si="12"/>
        <v>43.099861758809325</v>
      </c>
      <c r="Q57" s="32">
        <f t="shared" si="12"/>
        <v>43.906427392589912</v>
      </c>
      <c r="R57" s="32">
        <f t="shared" si="12"/>
        <v>44.914602509297943</v>
      </c>
      <c r="S57" s="32">
        <f t="shared" si="12"/>
        <v>46.083537968625073</v>
      </c>
      <c r="T57" s="32">
        <f>+S57+T58</f>
        <v>47.418746060084608</v>
      </c>
      <c r="U57" s="32">
        <f>+T57+U58</f>
        <v>48.926936161571298</v>
      </c>
      <c r="V57" s="32">
        <f t="shared" ref="V57" si="13">+U57+V58</f>
        <v>50.602820349699115</v>
      </c>
      <c r="W57" s="32">
        <f t="shared" ref="W57" si="14">+V57+W58</f>
        <v>52.444862963237547</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8" t="s">
        <v>74</v>
      </c>
      <c r="C58" s="33"/>
      <c r="D58" s="33">
        <f>-D59+D67+D72</f>
        <v>-5.2296787328385381</v>
      </c>
      <c r="E58" s="33">
        <f>-E59+E67+E72</f>
        <v>-0.7133562300773999</v>
      </c>
      <c r="F58" s="33">
        <f>-F59+F67+F72</f>
        <v>0.91376466173872706</v>
      </c>
      <c r="G58" s="33">
        <f>-G59+G67+G72</f>
        <v>2.4901197619032813</v>
      </c>
      <c r="H58" s="33">
        <f t="shared" ref="H58:S58" si="15">-H59+H67+H72</f>
        <v>2.8998894516282046</v>
      </c>
      <c r="I58" s="33">
        <f t="shared" si="15"/>
        <v>-0.42832194388220302</v>
      </c>
      <c r="J58" s="33">
        <f t="shared" si="15"/>
        <v>-0.4781050660387644</v>
      </c>
      <c r="K58" s="33">
        <f t="shared" si="15"/>
        <v>-0.40659943021414829</v>
      </c>
      <c r="L58" s="33">
        <f t="shared" si="15"/>
        <v>-0.27515455697328628</v>
      </c>
      <c r="M58" s="33">
        <f t="shared" si="15"/>
        <v>-0.15940612009736183</v>
      </c>
      <c r="N58" s="33">
        <f t="shared" si="15"/>
        <v>0.20154491147050374</v>
      </c>
      <c r="O58" s="33">
        <f t="shared" si="15"/>
        <v>0.41571513583450603</v>
      </c>
      <c r="P58" s="33">
        <f t="shared" si="15"/>
        <v>0.58151991635580513</v>
      </c>
      <c r="Q58" s="33">
        <f t="shared" si="15"/>
        <v>0.80656563378058277</v>
      </c>
      <c r="R58" s="33">
        <f t="shared" si="15"/>
        <v>1.00817511670803</v>
      </c>
      <c r="S58" s="33">
        <f t="shared" si="15"/>
        <v>1.1689354593271299</v>
      </c>
      <c r="T58" s="33">
        <f>-T59+T67+T72</f>
        <v>1.3352080914595359</v>
      </c>
      <c r="U58" s="33">
        <f t="shared" ref="U58:W58" si="16">-U59+U67+U72</f>
        <v>1.5081901014866872</v>
      </c>
      <c r="V58" s="33">
        <f t="shared" si="16"/>
        <v>1.6758841881278173</v>
      </c>
      <c r="W58" s="33">
        <f t="shared" si="16"/>
        <v>1.8420426135384291</v>
      </c>
    </row>
    <row r="59" spans="2:48" outlineLevel="1" x14ac:dyDescent="0.2">
      <c r="B59" s="64" t="s">
        <v>75</v>
      </c>
      <c r="C59" s="34"/>
      <c r="D59" s="34">
        <f>D60+D61-D62-D63-D64-D65-D66</f>
        <v>-0.37224146716146173</v>
      </c>
      <c r="E59" s="34">
        <f t="shared" ref="E59:R59" si="17">E60+E61-E62-E63-E64-E65-E66</f>
        <v>-9.8784769922599977E-2</v>
      </c>
      <c r="F59" s="34">
        <f t="shared" si="17"/>
        <v>-1.2530012617387272</v>
      </c>
      <c r="G59" s="34">
        <f t="shared" si="17"/>
        <v>-1.0650686937870422</v>
      </c>
      <c r="H59" s="34">
        <f t="shared" si="17"/>
        <v>-0.64167651964023475</v>
      </c>
      <c r="I59" s="34">
        <f t="shared" si="17"/>
        <v>-0.35259581997032452</v>
      </c>
      <c r="J59" s="34">
        <f t="shared" si="17"/>
        <v>-8.4819627956174426E-2</v>
      </c>
      <c r="K59" s="34">
        <f t="shared" si="17"/>
        <v>-0.14572065197078626</v>
      </c>
      <c r="L59" s="34">
        <f t="shared" si="17"/>
        <v>-0.21102157598538607</v>
      </c>
      <c r="M59" s="34">
        <f t="shared" si="17"/>
        <v>-0.28378249999999644</v>
      </c>
      <c r="N59" s="34">
        <f t="shared" si="17"/>
        <v>-0.47955320718426891</v>
      </c>
      <c r="O59" s="34">
        <f t="shared" si="17"/>
        <v>-0.67212322869718344</v>
      </c>
      <c r="P59" s="34">
        <f t="shared" si="17"/>
        <v>-0.83767472133087295</v>
      </c>
      <c r="Q59" s="34">
        <f t="shared" si="17"/>
        <v>-1.0064862141843873</v>
      </c>
      <c r="R59" s="34">
        <f t="shared" si="17"/>
        <v>-1.1537773141843857</v>
      </c>
      <c r="S59" s="34">
        <f>S60+S61-S62-S63-S64-S65-S66</f>
        <v>-1.2612589074782905</v>
      </c>
      <c r="T59" s="34">
        <f>T60+T61-T62-T63-T64-T65-T66</f>
        <v>-1.3642292202724824</v>
      </c>
      <c r="U59" s="34">
        <f>U60+U61-U62-U63-U64-U65-U66</f>
        <v>-1.4665914021676549</v>
      </c>
      <c r="V59" s="34">
        <f t="shared" ref="V59:W59" si="18">V60+V61-V62-V63-V64-V65-V66</f>
        <v>-1.5530226021676552</v>
      </c>
      <c r="W59" s="34">
        <f t="shared" si="18"/>
        <v>-1.6540637021676485</v>
      </c>
    </row>
    <row r="60" spans="2:48" outlineLevel="1" x14ac:dyDescent="0.2">
      <c r="B60" s="63" t="s">
        <v>76</v>
      </c>
      <c r="C60" s="1"/>
      <c r="D60" s="1">
        <f>D12</f>
        <v>-0.89109400000000005</v>
      </c>
      <c r="E60" s="1">
        <f>E12</f>
        <v>0.7080978</v>
      </c>
      <c r="F60" s="1">
        <f>F12</f>
        <v>-0.36979909999999999</v>
      </c>
      <c r="G60" s="1">
        <f t="shared" ref="G60:W60" si="19">IF(G12="",F60,G12)</f>
        <v>-0.20979909999999996</v>
      </c>
      <c r="H60" s="1">
        <f t="shared" si="19"/>
        <v>-4.979909999999993E-2</v>
      </c>
      <c r="I60" s="1">
        <f t="shared" si="19"/>
        <v>0.1102009000000001</v>
      </c>
      <c r="J60" s="1">
        <f t="shared" si="19"/>
        <v>0.27020090000000013</v>
      </c>
      <c r="K60" s="1">
        <f t="shared" si="19"/>
        <v>0.27020090000000013</v>
      </c>
      <c r="L60" s="1">
        <f t="shared" si="19"/>
        <v>0.27020090000000013</v>
      </c>
      <c r="M60" s="1">
        <f t="shared" si="19"/>
        <v>0.27020090000000013</v>
      </c>
      <c r="N60" s="1">
        <f t="shared" si="19"/>
        <v>0.27020090000000013</v>
      </c>
      <c r="O60" s="1">
        <f t="shared" si="19"/>
        <v>0.27020090000000013</v>
      </c>
      <c r="P60" s="1">
        <f t="shared" si="19"/>
        <v>0.27020090000000013</v>
      </c>
      <c r="Q60" s="1">
        <f t="shared" si="19"/>
        <v>0.27020090000000013</v>
      </c>
      <c r="R60" s="1">
        <f t="shared" si="19"/>
        <v>0.27020090000000013</v>
      </c>
      <c r="S60" s="1">
        <f t="shared" si="19"/>
        <v>0.27020090000000013</v>
      </c>
      <c r="T60" s="1">
        <f t="shared" si="19"/>
        <v>0.27020090000000013</v>
      </c>
      <c r="U60" s="1">
        <f t="shared" si="19"/>
        <v>0.27020090000000013</v>
      </c>
      <c r="V60" s="1">
        <f t="shared" si="19"/>
        <v>0.27020090000000013</v>
      </c>
      <c r="W60" s="1">
        <f t="shared" si="19"/>
        <v>0.27020090000000013</v>
      </c>
    </row>
    <row r="61" spans="2:48" outlineLevel="1" x14ac:dyDescent="0.2">
      <c r="B61" s="63" t="s">
        <v>77</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3" t="s">
        <v>78</v>
      </c>
      <c r="C62" s="1"/>
      <c r="D62" s="1">
        <f t="shared" ref="D62:W62" si="20">-$C$48*D30</f>
        <v>-0.35859863283853832</v>
      </c>
      <c r="E62" s="1">
        <f t="shared" si="20"/>
        <v>0.81013486992259998</v>
      </c>
      <c r="F62" s="1">
        <f t="shared" si="20"/>
        <v>0.88576236173872713</v>
      </c>
      <c r="G62" s="1">
        <f t="shared" si="20"/>
        <v>0.85683149378704215</v>
      </c>
      <c r="H62" s="1">
        <f t="shared" si="20"/>
        <v>0.62497571964023491</v>
      </c>
      <c r="I62" s="1">
        <f t="shared" si="20"/>
        <v>0.46279671997032462</v>
      </c>
      <c r="J62" s="1">
        <f t="shared" si="20"/>
        <v>0.35502052795617456</v>
      </c>
      <c r="K62" s="1">
        <f t="shared" si="20"/>
        <v>0.23668035197078596</v>
      </c>
      <c r="L62" s="1">
        <f t="shared" si="20"/>
        <v>0.11834017598538855</v>
      </c>
      <c r="M62" s="1">
        <f>-$C$48*M30</f>
        <v>0</v>
      </c>
      <c r="N62" s="1">
        <f t="shared" si="20"/>
        <v>-3.9281572741245444E-7</v>
      </c>
      <c r="O62" s="1">
        <f t="shared" si="20"/>
        <v>-1.5713028131969509E-6</v>
      </c>
      <c r="P62" s="1">
        <f t="shared" si="20"/>
        <v>-1.1786691235693425E-6</v>
      </c>
      <c r="Q62" s="1">
        <f t="shared" si="20"/>
        <v>-7.8581561004931197E-7</v>
      </c>
      <c r="R62" s="1">
        <f t="shared" si="20"/>
        <v>-7.8581561004931197E-7</v>
      </c>
      <c r="S62" s="1">
        <f t="shared" si="20"/>
        <v>-3.9252170453973893E-7</v>
      </c>
      <c r="T62" s="1">
        <f t="shared" si="20"/>
        <v>-1.1797275155434052E-6</v>
      </c>
      <c r="U62" s="1">
        <f>-$C$48*U30</f>
        <v>2.1676556549721229E-9</v>
      </c>
      <c r="V62" s="1">
        <f t="shared" si="20"/>
        <v>2.1676556549721229E-9</v>
      </c>
      <c r="W62" s="1">
        <f t="shared" si="20"/>
        <v>2.1676512251822544E-9</v>
      </c>
    </row>
    <row r="63" spans="2:48" outlineLevel="1" x14ac:dyDescent="0.2">
      <c r="B63" s="63" t="s">
        <v>79</v>
      </c>
      <c r="C63" s="1"/>
      <c r="D63" s="1">
        <f t="shared" ref="D63:W63" si="21">-D14</f>
        <v>-0.1602539</v>
      </c>
      <c r="E63" s="1">
        <f t="shared" si="21"/>
        <v>-3.2523000000000001E-3</v>
      </c>
      <c r="F63" s="1">
        <f t="shared" si="21"/>
        <v>-2.5601999999999999E-3</v>
      </c>
      <c r="G63" s="1">
        <f t="shared" si="21"/>
        <v>-1.5619E-3</v>
      </c>
      <c r="H63" s="1">
        <f t="shared" si="21"/>
        <v>-3.3098299999999997E-2</v>
      </c>
      <c r="I63" s="1">
        <f t="shared" si="21"/>
        <v>0</v>
      </c>
      <c r="J63" s="1">
        <f t="shared" si="21"/>
        <v>0</v>
      </c>
      <c r="K63" s="1">
        <f t="shared" si="21"/>
        <v>0</v>
      </c>
      <c r="L63" s="1">
        <f t="shared" si="21"/>
        <v>0</v>
      </c>
      <c r="M63" s="1">
        <f t="shared" si="21"/>
        <v>0</v>
      </c>
      <c r="N63" s="1">
        <f t="shared" si="21"/>
        <v>0</v>
      </c>
      <c r="O63" s="1">
        <f t="shared" si="21"/>
        <v>0</v>
      </c>
      <c r="P63" s="1">
        <f t="shared" si="21"/>
        <v>0</v>
      </c>
      <c r="Q63" s="1">
        <f t="shared" si="21"/>
        <v>0</v>
      </c>
      <c r="R63" s="1">
        <f t="shared" si="21"/>
        <v>0</v>
      </c>
      <c r="S63" s="1">
        <f t="shared" si="21"/>
        <v>0</v>
      </c>
      <c r="T63" s="1">
        <f t="shared" si="21"/>
        <v>0</v>
      </c>
      <c r="U63" s="1">
        <f t="shared" si="21"/>
        <v>0</v>
      </c>
      <c r="V63" s="1">
        <f t="shared" si="21"/>
        <v>0</v>
      </c>
      <c r="W63" s="1">
        <f t="shared" si="21"/>
        <v>0</v>
      </c>
    </row>
    <row r="64" spans="2:48" outlineLevel="1" x14ac:dyDescent="0.2">
      <c r="B64" s="63" t="s">
        <v>80</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0.17332000000000036</v>
      </c>
      <c r="L64" s="1">
        <f>IF(L$56&lt;=$C$6,0,HLOOKUP(L$56,'Input data'!$C$9:$BB$26,12,FALSE)-HLOOKUP($C$6,'Input data'!$C$9:$BB$26,12,FALSE))</f>
        <v>0.35103999999999758</v>
      </c>
      <c r="M64" s="1">
        <f>IF(M$56&lt;=$C$6,0,HLOOKUP(M$56,'Input data'!$C$9:$BB$26,12,FALSE)-HLOOKUP($C$6,'Input data'!$C$9:$BB$26,12,FALSE))</f>
        <v>0.53621999999999659</v>
      </c>
      <c r="N64" s="1">
        <f>IF(N$56&lt;=$C$6,0,HLOOKUP(N$56,'Input data'!$C$9:$BB$26,12,FALSE)-HLOOKUP($C$6,'Input data'!$C$9:$BB$26,12,FALSE))</f>
        <v>0.72606999999999644</v>
      </c>
      <c r="O64" s="1">
        <f>IF(O$56&lt;=$C$6,0,HLOOKUP(O$56,'Input data'!$C$9:$BB$26,12,FALSE)-HLOOKUP($C$6,'Input data'!$C$9:$BB$26,12,FALSE))</f>
        <v>0.91271999999999665</v>
      </c>
      <c r="P64" s="1">
        <f>IF(P$56&lt;=$C$6,0,HLOOKUP(P$56,'Input data'!$C$9:$BB$26,12,FALSE)-HLOOKUP($C$6,'Input data'!$C$9:$BB$26,12,FALSE))</f>
        <v>1.0723499999999966</v>
      </c>
      <c r="Q64" s="1">
        <f>IF(Q$56&lt;=$C$6,0,HLOOKUP(Q$56,'Input data'!$C$9:$BB$26,12,FALSE)-HLOOKUP($C$6,'Input data'!$C$9:$BB$26,12,FALSE))</f>
        <v>1.2352399999999975</v>
      </c>
      <c r="R64" s="1">
        <f>IF(R$56&lt;=$C$6,0,HLOOKUP(R$56,'Input data'!$C$9:$BB$26,12,FALSE)-HLOOKUP($C$6,'Input data'!$C$9:$BB$26,12,FALSE))</f>
        <v>1.3766099999999959</v>
      </c>
      <c r="S64" s="1">
        <f>IF(S$56&lt;=$C$6,0,HLOOKUP(S$56,'Input data'!$C$9:$BB$26,12,FALSE)-HLOOKUP($C$6,'Input data'!$C$9:$BB$26,12,FALSE))</f>
        <v>1.4781699999999951</v>
      </c>
      <c r="T64" s="1">
        <f>IF(T$56&lt;=$C$6,0,HLOOKUP(T$56,'Input data'!$C$9:$BB$26,12,FALSE)-HLOOKUP($C$6,'Input data'!$C$9:$BB$26,12,FALSE))</f>
        <v>1.5752199999999981</v>
      </c>
      <c r="U64" s="1">
        <f>IF(U$56&lt;=$C$6,0,HLOOKUP(U$56,'Input data'!$C$9:$BB$26,12,FALSE)-HLOOKUP($C$6,'Input data'!$C$9:$BB$26,12,FALSE))</f>
        <v>1.6716599999999993</v>
      </c>
      <c r="V64" s="1">
        <f>IF(V$56&lt;=$C$6,0,HLOOKUP(V$56,'Input data'!$C$9:$BB$26,12,FALSE)-HLOOKUP($C$6,'Input data'!$C$9:$BB$26,12,FALSE))</f>
        <v>1.7521699999999996</v>
      </c>
      <c r="W64" s="1">
        <f>IF(W$56&lt;=$C$6,0,HLOOKUP(W$56,'Input data'!$C$9:$BB$26,12,FALSE)-HLOOKUP($C$6,'Input data'!$C$9:$BB$26,12,FALSE))</f>
        <v>1.8472899999999974</v>
      </c>
    </row>
    <row r="65" spans="2:23" outlineLevel="1" x14ac:dyDescent="0.2">
      <c r="B65" s="63" t="s">
        <v>81</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5.9212000000000709E-3</v>
      </c>
      <c r="L65" s="1">
        <f>IF(L$56&lt;=$C$6,0,-HLOOKUP(L$56,'Input data'!$C$9:$BB$26,18,FALSE)+HLOOKUP($C$6,'Input data'!$C$9:$BB$26,18,FALSE))</f>
        <v>1.1842300000000083E-2</v>
      </c>
      <c r="M65" s="1">
        <f>IF(M$56&lt;=$C$6,0,-HLOOKUP(M$56,'Input data'!$C$9:$BB$26,18,FALSE)+HLOOKUP($C$6,'Input data'!$C$9:$BB$26,18,FALSE))</f>
        <v>1.7763399999999985E-2</v>
      </c>
      <c r="N65" s="1">
        <f>IF(N$56&lt;=$C$6,0,-HLOOKUP(N$56,'Input data'!$C$9:$BB$26,18,FALSE)+HLOOKUP($C$6,'Input data'!$C$9:$BB$26,18,FALSE))</f>
        <v>2.3684499999999997E-2</v>
      </c>
      <c r="O65" s="1">
        <f>IF(O$56&lt;=$C$6,0,-HLOOKUP(O$56,'Input data'!$C$9:$BB$26,18,FALSE)+HLOOKUP($C$6,'Input data'!$C$9:$BB$26,18,FALSE))</f>
        <v>2.9605700000000068E-2</v>
      </c>
      <c r="P65" s="1">
        <f>IF(P$56&lt;=$C$6,0,-HLOOKUP(P$56,'Input data'!$C$9:$BB$26,18,FALSE)+HLOOKUP($C$6,'Input data'!$C$9:$BB$26,18,FALSE))</f>
        <v>3.5526800000000081E-2</v>
      </c>
      <c r="Q65" s="1">
        <f>IF(Q$56&lt;=$C$6,0,-HLOOKUP(Q$56,'Input data'!$C$9:$BB$26,18,FALSE)+HLOOKUP($C$6,'Input data'!$C$9:$BB$26,18,FALSE))</f>
        <v>4.1447899999999982E-2</v>
      </c>
      <c r="R65" s="1">
        <f>IF(R$56&lt;=$C$6,0,-HLOOKUP(R$56,'Input data'!$C$9:$BB$26,18,FALSE)+HLOOKUP($C$6,'Input data'!$C$9:$BB$26,18,FALSE))</f>
        <v>4.7368999999999994E-2</v>
      </c>
      <c r="S65" s="1">
        <f>IF(S$56&lt;=$C$6,0,-HLOOKUP(S$56,'Input data'!$C$9:$BB$26,18,FALSE)+HLOOKUP($C$6,'Input data'!$C$9:$BB$26,18,FALSE))</f>
        <v>5.3290200000000065E-2</v>
      </c>
      <c r="T65" s="1">
        <f>IF(T$56&lt;=$C$6,0,-HLOOKUP(T$56,'Input data'!$C$9:$BB$26,18,FALSE)+HLOOKUP($C$6,'Input data'!$C$9:$BB$26,18,FALSE))</f>
        <v>5.9211300000000078E-2</v>
      </c>
      <c r="U65" s="188">
        <f>IF(U$56&lt;=$C$6,0,-HLOOKUP(U$56,'Input data'!$C$9:$BB$26,18,FALSE)+HLOOKUP($C$6,'Input data'!$C$9:$BB$26,18,FALSE))</f>
        <v>6.5132300000000032E-2</v>
      </c>
      <c r="V65" s="188">
        <f>IF(V$56&lt;=$C$6,0,-HLOOKUP(V$56,'Input data'!$C$9:$BB$26,18,FALSE)+HLOOKUP($C$6,'Input data'!$C$9:$BB$26,18,FALSE))</f>
        <v>7.1053499999999992E-2</v>
      </c>
      <c r="W65" s="188">
        <f>IF(W$56&lt;=$C$6,0,-HLOOKUP(W$56,'Input data'!$C$9:$BB$26,18,FALSE)+HLOOKUP($C$6,'Input data'!$C$9:$BB$26,18,FALSE))</f>
        <v>7.6974600000000004E-2</v>
      </c>
    </row>
    <row r="66" spans="2:23" outlineLevel="1" x14ac:dyDescent="0.2">
      <c r="B66" s="63" t="s">
        <v>82</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89">
        <v>0</v>
      </c>
      <c r="V66" s="189">
        <v>0</v>
      </c>
      <c r="W66" s="189">
        <v>0</v>
      </c>
    </row>
    <row r="67" spans="2:23" outlineLevel="1" x14ac:dyDescent="0.2">
      <c r="B67" s="64" t="s">
        <v>83</v>
      </c>
      <c r="C67" s="34"/>
      <c r="D67" s="34">
        <f t="shared" ref="D67:O67" si="22">SUM(D68:D71)</f>
        <v>-6.5808179999999998</v>
      </c>
      <c r="E67" s="34">
        <f t="shared" si="22"/>
        <v>-2.677216</v>
      </c>
      <c r="F67" s="34">
        <f t="shared" si="22"/>
        <v>-1.2856380000000001</v>
      </c>
      <c r="G67" s="34">
        <f t="shared" si="22"/>
        <v>-1.2924489318837606</v>
      </c>
      <c r="H67" s="34">
        <f t="shared" si="22"/>
        <v>-0.81478706801203005</v>
      </c>
      <c r="I67" s="34">
        <f t="shared" si="22"/>
        <v>-0.78091776385252754</v>
      </c>
      <c r="J67" s="34">
        <f t="shared" si="22"/>
        <v>-0.56292469399493883</v>
      </c>
      <c r="K67" s="34">
        <f t="shared" si="22"/>
        <v>-0.55232008218493456</v>
      </c>
      <c r="L67" s="34">
        <f t="shared" si="22"/>
        <v>-0.48617613295867235</v>
      </c>
      <c r="M67" s="34">
        <f t="shared" si="22"/>
        <v>-0.44318862009735827</v>
      </c>
      <c r="N67" s="34">
        <f t="shared" si="22"/>
        <v>-0.27800829571376517</v>
      </c>
      <c r="O67" s="34">
        <f t="shared" si="22"/>
        <v>-0.25640809286267741</v>
      </c>
      <c r="P67" s="34">
        <f t="shared" ref="P67:T67" si="23">SUM(P68:P71)</f>
        <v>-0.25615480497506782</v>
      </c>
      <c r="Q67" s="34">
        <f t="shared" si="23"/>
        <v>-0.19992058040380456</v>
      </c>
      <c r="R67" s="34">
        <f t="shared" si="23"/>
        <v>-0.14560219747635583</v>
      </c>
      <c r="S67" s="34">
        <f t="shared" si="23"/>
        <v>-9.232344815116067E-2</v>
      </c>
      <c r="T67" s="34">
        <f t="shared" si="23"/>
        <v>-2.9021128812946495E-2</v>
      </c>
      <c r="U67" s="34">
        <f t="shared" ref="U67:W67" si="24">SUM(U68:U71)</f>
        <v>4.1598699319032262E-2</v>
      </c>
      <c r="V67" s="34">
        <f t="shared" si="24"/>
        <v>0.12286158596016206</v>
      </c>
      <c r="W67" s="34">
        <f t="shared" si="24"/>
        <v>0.1879789113707806</v>
      </c>
    </row>
    <row r="68" spans="2:23" outlineLevel="1" x14ac:dyDescent="0.2">
      <c r="B68" s="63" t="s">
        <v>84</v>
      </c>
      <c r="C68" s="23"/>
      <c r="D68" s="23">
        <f t="shared" ref="D68:E68" si="25">C57*D36/100*(1/(1+D33/100))</f>
        <v>0.33429464897585787</v>
      </c>
      <c r="E68" s="23">
        <f t="shared" si="25"/>
        <v>0.59124962330069897</v>
      </c>
      <c r="F68" s="23">
        <f>E57*F36/100*(1/(1+F33/100))</f>
        <v>0.78192213335374294</v>
      </c>
      <c r="G68" s="23">
        <f>F57*G36/100*(1/(1+G33/100))</f>
        <v>0.92085891730334535</v>
      </c>
      <c r="H68" s="23">
        <f t="shared" ref="H68:W68" si="26">G57*H36/100*(1/(1+H33/100))</f>
        <v>1.1229130465840675</v>
      </c>
      <c r="I68" s="23">
        <f t="shared" si="26"/>
        <v>1.2307653000253795</v>
      </c>
      <c r="J68" s="23">
        <f>I57*J36/100*(1/(1+J33/100))</f>
        <v>1.2431038168638167</v>
      </c>
      <c r="K68" s="23">
        <f t="shared" si="26"/>
        <v>1.249280200393815</v>
      </c>
      <c r="L68" s="23">
        <f>K57*L36/100*(1/(1+L33/100))</f>
        <v>1.2611813479527862</v>
      </c>
      <c r="M68" s="23">
        <f t="shared" si="26"/>
        <v>1.2781154617209316</v>
      </c>
      <c r="N68" s="23">
        <f t="shared" si="26"/>
        <v>1.304085875636134</v>
      </c>
      <c r="O68" s="23">
        <f t="shared" si="26"/>
        <v>1.3392140727777078</v>
      </c>
      <c r="P68" s="23">
        <f t="shared" si="26"/>
        <v>1.3829174313542749</v>
      </c>
      <c r="Q68" s="23">
        <f t="shared" si="26"/>
        <v>1.4312781962541841</v>
      </c>
      <c r="R68" s="23">
        <f t="shared" si="26"/>
        <v>1.4852286466466964</v>
      </c>
      <c r="S68" s="23">
        <f t="shared" si="26"/>
        <v>1.5443117618658573</v>
      </c>
      <c r="T68" s="23">
        <f t="shared" si="26"/>
        <v>1.6077186565885206</v>
      </c>
      <c r="U68" s="23">
        <f t="shared" si="26"/>
        <v>1.675845334469823</v>
      </c>
      <c r="V68" s="23">
        <f t="shared" si="26"/>
        <v>1.7493249793836156</v>
      </c>
      <c r="W68" s="23">
        <f t="shared" si="26"/>
        <v>1.8272254477124548</v>
      </c>
    </row>
    <row r="69" spans="2:23" outlineLevel="1" x14ac:dyDescent="0.2">
      <c r="B69" s="63" t="s">
        <v>85</v>
      </c>
      <c r="C69" s="23"/>
      <c r="D69" s="23">
        <f t="shared" ref="D69:W69" si="27">-C57*(D24/100)*(1/(1+D33/100))</f>
        <v>-0.92296927165233233</v>
      </c>
      <c r="E69" s="23">
        <f t="shared" si="27"/>
        <v>-0.1190757993807937</v>
      </c>
      <c r="F69" s="23">
        <f t="shared" si="27"/>
        <v>-0.76472937130044816</v>
      </c>
      <c r="G69" s="23">
        <f t="shared" si="27"/>
        <v>-0.92925748449562973</v>
      </c>
      <c r="H69" s="23">
        <f t="shared" si="27"/>
        <v>-1.0594625187145386</v>
      </c>
      <c r="I69" s="23">
        <f t="shared" si="27"/>
        <v>-1.0632541033545073</v>
      </c>
      <c r="J69" s="23">
        <f t="shared" si="27"/>
        <v>-0.85929311899961747</v>
      </c>
      <c r="K69" s="23">
        <f t="shared" si="27"/>
        <v>-0.85781133046599378</v>
      </c>
      <c r="L69" s="23">
        <f t="shared" si="27"/>
        <v>-0.80509452602989962</v>
      </c>
      <c r="M69" s="23">
        <f t="shared" si="27"/>
        <v>-0.77776423017352492</v>
      </c>
      <c r="N69" s="23">
        <f t="shared" si="27"/>
        <v>-0.63475996570589188</v>
      </c>
      <c r="O69" s="23">
        <f t="shared" si="27"/>
        <v>-0.63632817996464586</v>
      </c>
      <c r="P69" s="23">
        <f t="shared" si="27"/>
        <v>-0.66283282910153829</v>
      </c>
      <c r="Q69" s="23">
        <f t="shared" si="27"/>
        <v>-0.64880874853962212</v>
      </c>
      <c r="R69" s="23">
        <f t="shared" si="27"/>
        <v>-0.6373950877447534</v>
      </c>
      <c r="S69" s="23">
        <f t="shared" si="27"/>
        <v>-0.62789795578194851</v>
      </c>
      <c r="T69" s="23">
        <f t="shared" si="27"/>
        <v>-0.60945716349625423</v>
      </c>
      <c r="U69" s="23">
        <f t="shared" si="27"/>
        <v>-0.58513368601556071</v>
      </c>
      <c r="V69" s="23">
        <f t="shared" si="27"/>
        <v>-0.55217152895352783</v>
      </c>
      <c r="W69" s="23">
        <f t="shared" si="27"/>
        <v>-0.53662950737241677</v>
      </c>
    </row>
    <row r="70" spans="2:23" outlineLevel="1" x14ac:dyDescent="0.2">
      <c r="B70" s="63" t="s">
        <v>86</v>
      </c>
      <c r="C70" s="23"/>
      <c r="D70" s="23">
        <f t="shared" ref="D70:W70" si="28">-C57*D42/100*(1/(1+D42/100))</f>
        <v>-5.9921458141169879</v>
      </c>
      <c r="E70" s="23">
        <f t="shared" si="28"/>
        <v>-3.1493898553330193</v>
      </c>
      <c r="F70" s="23">
        <f t="shared" si="28"/>
        <v>-1.3028305268825107</v>
      </c>
      <c r="G70" s="23">
        <f t="shared" si="28"/>
        <v>-1.2840494577525556</v>
      </c>
      <c r="H70" s="23">
        <f t="shared" si="28"/>
        <v>-0.87823759588155903</v>
      </c>
      <c r="I70" s="23">
        <f t="shared" si="28"/>
        <v>-0.94842896052339976</v>
      </c>
      <c r="J70" s="23">
        <f t="shared" si="28"/>
        <v>-0.94673539185913802</v>
      </c>
      <c r="K70" s="23">
        <f t="shared" si="28"/>
        <v>-0.94378895211275582</v>
      </c>
      <c r="L70" s="23">
        <f t="shared" si="28"/>
        <v>-0.94226295488155898</v>
      </c>
      <c r="M70" s="23">
        <f t="shared" si="28"/>
        <v>-0.94353985164476495</v>
      </c>
      <c r="N70" s="23">
        <f t="shared" si="28"/>
        <v>-0.94733420564400728</v>
      </c>
      <c r="O70" s="23">
        <f t="shared" si="28"/>
        <v>-0.95929398567573931</v>
      </c>
      <c r="P70" s="23">
        <f t="shared" si="28"/>
        <v>-0.97623940722780445</v>
      </c>
      <c r="Q70" s="23">
        <f t="shared" si="28"/>
        <v>-0.98239002811836651</v>
      </c>
      <c r="R70" s="23">
        <f t="shared" si="28"/>
        <v>-0.99343575637829884</v>
      </c>
      <c r="S70" s="23">
        <f t="shared" si="28"/>
        <v>-1.0087372542350694</v>
      </c>
      <c r="T70" s="23">
        <f t="shared" si="28"/>
        <v>-1.0272826219052129</v>
      </c>
      <c r="U70" s="23">
        <f t="shared" si="28"/>
        <v>-1.04911294913523</v>
      </c>
      <c r="V70" s="23">
        <f t="shared" si="28"/>
        <v>-1.0742918644699258</v>
      </c>
      <c r="W70" s="23">
        <f t="shared" si="28"/>
        <v>-1.1026170289692574</v>
      </c>
    </row>
    <row r="71" spans="2:23" outlineLevel="1" x14ac:dyDescent="0.2">
      <c r="B71" s="63" t="s">
        <v>87</v>
      </c>
      <c r="C71" s="35"/>
      <c r="D71" s="35">
        <f>'Baseline NFPC'!D70</f>
        <v>2.4367934630120658E-6</v>
      </c>
      <c r="E71" s="35">
        <f>'Baseline NFPC'!E70</f>
        <v>3.1413113887879263E-8</v>
      </c>
      <c r="F71" s="35">
        <f>'Baseline NFPC'!F70</f>
        <v>-2.3517078417967241E-7</v>
      </c>
      <c r="G71" s="35">
        <f>'Baseline NFPC'!G70</f>
        <v>-9.0693892063065107E-7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4" t="s">
        <v>88</v>
      </c>
      <c r="C72" s="36"/>
      <c r="D72" s="36">
        <f>'Input data'!D16</f>
        <v>0.97889780000000004</v>
      </c>
      <c r="E72" s="36">
        <f>'Input data'!E16</f>
        <v>1.865075</v>
      </c>
      <c r="F72" s="36">
        <f>'Input data'!F16</f>
        <v>0.94640139999999995</v>
      </c>
      <c r="G72" s="36">
        <f>'Input data'!G16</f>
        <v>2.7174999999999998</v>
      </c>
      <c r="H72" s="36">
        <f>'Input data'!H16</f>
        <v>3.073</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3" t="s">
        <v>89</v>
      </c>
      <c r="C73" s="23"/>
      <c r="D73" s="23">
        <f t="shared" ref="D73:W73" si="29">D15</f>
        <v>0.97889720000000002</v>
      </c>
      <c r="E73" s="23">
        <f t="shared" si="29"/>
        <v>1.865075</v>
      </c>
      <c r="F73" s="23">
        <f t="shared" si="29"/>
        <v>0.94640000000000002</v>
      </c>
      <c r="G73" s="23">
        <f t="shared" si="29"/>
        <v>2.7175029999999998</v>
      </c>
      <c r="H73" s="23">
        <f t="shared" si="29"/>
        <v>3.073</v>
      </c>
      <c r="I73" s="23">
        <f t="shared" si="29"/>
        <v>0</v>
      </c>
      <c r="J73" s="23">
        <f t="shared" si="29"/>
        <v>0</v>
      </c>
      <c r="K73" s="23">
        <f t="shared" si="29"/>
        <v>0</v>
      </c>
      <c r="L73" s="23">
        <f t="shared" si="29"/>
        <v>0</v>
      </c>
      <c r="M73" s="23">
        <f t="shared" si="29"/>
        <v>0</v>
      </c>
      <c r="N73" s="23">
        <f t="shared" si="29"/>
        <v>0</v>
      </c>
      <c r="O73" s="23">
        <f t="shared" si="29"/>
        <v>0</v>
      </c>
      <c r="P73" s="23">
        <f t="shared" si="29"/>
        <v>0</v>
      </c>
      <c r="Q73" s="23">
        <f t="shared" si="29"/>
        <v>0</v>
      </c>
      <c r="R73" s="23">
        <f t="shared" si="29"/>
        <v>0</v>
      </c>
      <c r="S73" s="23">
        <f t="shared" si="29"/>
        <v>0</v>
      </c>
      <c r="T73" s="23">
        <f t="shared" si="29"/>
        <v>0</v>
      </c>
      <c r="U73" s="23">
        <f t="shared" si="29"/>
        <v>0</v>
      </c>
      <c r="V73" s="23">
        <f t="shared" si="29"/>
        <v>0</v>
      </c>
      <c r="W73" s="23">
        <f t="shared" si="29"/>
        <v>0</v>
      </c>
    </row>
    <row r="74" spans="2:23" outlineLevel="1" x14ac:dyDescent="0.2">
      <c r="B74" s="69" t="s">
        <v>90</v>
      </c>
      <c r="C74" s="35"/>
      <c r="D74" s="35">
        <f>+D72-D73</f>
        <v>6.000000000172534E-7</v>
      </c>
      <c r="E74" s="35">
        <f t="shared" ref="E74:T74" si="30">+E72-E73</f>
        <v>0</v>
      </c>
      <c r="F74" s="35">
        <f t="shared" si="30"/>
        <v>1.3999999999292356E-6</v>
      </c>
      <c r="G74" s="35">
        <f t="shared" si="30"/>
        <v>-2.9999999999752447E-6</v>
      </c>
      <c r="H74" s="35">
        <f t="shared" si="30"/>
        <v>0</v>
      </c>
      <c r="I74" s="35">
        <f t="shared" si="30"/>
        <v>0</v>
      </c>
      <c r="J74" s="35">
        <f t="shared" si="30"/>
        <v>0</v>
      </c>
      <c r="K74" s="35">
        <f t="shared" si="30"/>
        <v>0</v>
      </c>
      <c r="L74" s="35">
        <f t="shared" si="30"/>
        <v>0</v>
      </c>
      <c r="M74" s="35">
        <f t="shared" si="30"/>
        <v>0</v>
      </c>
      <c r="N74" s="35">
        <f t="shared" si="30"/>
        <v>0</v>
      </c>
      <c r="O74" s="35">
        <f t="shared" si="30"/>
        <v>0</v>
      </c>
      <c r="P74" s="35">
        <f t="shared" si="30"/>
        <v>0</v>
      </c>
      <c r="Q74" s="35">
        <f t="shared" si="30"/>
        <v>0</v>
      </c>
      <c r="R74" s="35">
        <f t="shared" si="30"/>
        <v>0</v>
      </c>
      <c r="S74" s="35">
        <f t="shared" si="30"/>
        <v>0</v>
      </c>
      <c r="T74" s="35">
        <f t="shared" si="30"/>
        <v>0</v>
      </c>
      <c r="U74" s="35">
        <f t="shared" ref="U74:W74" si="31">+U72-U73</f>
        <v>0</v>
      </c>
      <c r="V74" s="35">
        <f t="shared" si="31"/>
        <v>0</v>
      </c>
      <c r="W74" s="35">
        <f t="shared" si="31"/>
        <v>0</v>
      </c>
    </row>
    <row r="75" spans="2:23" ht="10.5" customHeight="1" outlineLevel="1" x14ac:dyDescent="0.2"/>
    <row r="76" spans="2:23" ht="10.5" customHeight="1" outlineLevel="1" x14ac:dyDescent="0.2">
      <c r="B76" s="70" t="s">
        <v>91</v>
      </c>
    </row>
    <row r="77" spans="2:23" x14ac:dyDescent="0.2">
      <c r="B77" s="61" t="s">
        <v>19</v>
      </c>
      <c r="C77" s="61"/>
      <c r="D77" s="62">
        <f>D59-D68</f>
        <v>-0.70653611613731959</v>
      </c>
      <c r="E77" s="62">
        <f t="shared" ref="E77:T77" si="32">E59-E68</f>
        <v>-0.69003439322329896</v>
      </c>
      <c r="F77" s="62">
        <f t="shared" si="32"/>
        <v>-2.0349233950924699</v>
      </c>
      <c r="G77" s="62">
        <f>G59-G68</f>
        <v>-1.9859276110903874</v>
      </c>
      <c r="H77" s="62">
        <f t="shared" si="32"/>
        <v>-1.7645895662243023</v>
      </c>
      <c r="I77" s="62">
        <f t="shared" si="32"/>
        <v>-1.5833611199957041</v>
      </c>
      <c r="J77" s="62">
        <f t="shared" si="32"/>
        <v>-1.327923444819991</v>
      </c>
      <c r="K77" s="62">
        <f t="shared" si="32"/>
        <v>-1.3950008523646014</v>
      </c>
      <c r="L77" s="62">
        <f t="shared" si="32"/>
        <v>-1.4722029239381724</v>
      </c>
      <c r="M77" s="62">
        <f t="shared" si="32"/>
        <v>-1.5618979617209281</v>
      </c>
      <c r="N77" s="62">
        <f t="shared" si="32"/>
        <v>-1.783639082820403</v>
      </c>
      <c r="O77" s="62">
        <f t="shared" si="32"/>
        <v>-2.0113373014748914</v>
      </c>
      <c r="P77" s="62">
        <f t="shared" si="32"/>
        <v>-2.220592152685148</v>
      </c>
      <c r="Q77" s="62">
        <f t="shared" si="32"/>
        <v>-2.4377644104385716</v>
      </c>
      <c r="R77" s="62">
        <f t="shared" si="32"/>
        <v>-2.6390059608310823</v>
      </c>
      <c r="S77" s="62">
        <f t="shared" si="32"/>
        <v>-2.8055706693441476</v>
      </c>
      <c r="T77" s="62">
        <f t="shared" si="32"/>
        <v>-2.971947876861003</v>
      </c>
      <c r="U77" s="62">
        <f t="shared" ref="U77:W77" si="33">U59-U68</f>
        <v>-3.1424367366374781</v>
      </c>
      <c r="V77" s="62">
        <f t="shared" si="33"/>
        <v>-3.3023475815512708</v>
      </c>
      <c r="W77" s="62">
        <f t="shared" si="33"/>
        <v>-3.4812891498801033</v>
      </c>
    </row>
    <row r="78" spans="2:23" x14ac:dyDescent="0.2">
      <c r="B78" s="15" t="s">
        <v>20</v>
      </c>
      <c r="D78" s="23">
        <f>D60-D68-D64-D65-D66</f>
        <v>-1.2253886489758579</v>
      </c>
      <c r="E78" s="23">
        <f t="shared" ref="E78:W78" si="34">E60-E68-E64-E65-E66</f>
        <v>0.11684817669930103</v>
      </c>
      <c r="F78" s="23">
        <f t="shared" si="34"/>
        <v>-1.151721233353743</v>
      </c>
      <c r="G78" s="23">
        <f t="shared" si="34"/>
        <v>-1.1306580173033454</v>
      </c>
      <c r="H78" s="23">
        <f t="shared" si="34"/>
        <v>-1.1727121465840675</v>
      </c>
      <c r="I78" s="23">
        <f t="shared" si="34"/>
        <v>-1.1205644000253794</v>
      </c>
      <c r="J78" s="23">
        <f t="shared" si="34"/>
        <v>-0.97290291686381658</v>
      </c>
      <c r="K78" s="23">
        <f t="shared" si="34"/>
        <v>-1.1583205003938155</v>
      </c>
      <c r="L78" s="23">
        <f t="shared" si="34"/>
        <v>-1.3538627479527838</v>
      </c>
      <c r="M78" s="23">
        <f t="shared" si="34"/>
        <v>-1.5618979617209281</v>
      </c>
      <c r="N78" s="23">
        <f t="shared" si="34"/>
        <v>-1.7836394756361305</v>
      </c>
      <c r="O78" s="23">
        <f t="shared" si="34"/>
        <v>-2.0113388727777046</v>
      </c>
      <c r="P78" s="23">
        <f t="shared" si="34"/>
        <v>-2.2205933313542716</v>
      </c>
      <c r="Q78" s="23">
        <f t="shared" si="34"/>
        <v>-2.4377651962541815</v>
      </c>
      <c r="R78" s="23">
        <f t="shared" si="34"/>
        <v>-2.6390067466466922</v>
      </c>
      <c r="S78" s="23">
        <f t="shared" si="34"/>
        <v>-2.8055710618658525</v>
      </c>
      <c r="T78" s="23">
        <f t="shared" si="34"/>
        <v>-2.9719490565885192</v>
      </c>
      <c r="U78" s="23">
        <f t="shared" si="34"/>
        <v>-3.1424367344698223</v>
      </c>
      <c r="V78" s="23">
        <f t="shared" si="34"/>
        <v>-3.3023475793836155</v>
      </c>
      <c r="W78" s="23">
        <f t="shared" si="34"/>
        <v>-3.4812891477124523</v>
      </c>
    </row>
    <row r="79" spans="2:23" x14ac:dyDescent="0.2">
      <c r="B79" s="24" t="s">
        <v>92</v>
      </c>
      <c r="C79" s="24"/>
      <c r="D79" s="238">
        <f>'Input data'!D45</f>
        <v>18.105102814039316</v>
      </c>
      <c r="E79" s="238">
        <f>'Input data'!E45</f>
        <v>12.078211293552688</v>
      </c>
      <c r="F79" s="238">
        <f>'Input data'!F45</f>
        <v>10.458084915574926</v>
      </c>
      <c r="G79" s="35">
        <f>'Input data'!G33+G42-(G$12-F$12)/'Input data'!$C$64*100</f>
        <v>5.5626676184307895</v>
      </c>
      <c r="H79" s="35">
        <f>'Input data'!H33+H42-(H$12-G$12)/'Input data'!$C$64*100</f>
        <v>3.9139306184307889</v>
      </c>
      <c r="I79" s="35">
        <f>'Input data'!I33+I42-(I$12-H$12)/'Input data'!$C$64*100</f>
        <v>3.9408942434307894</v>
      </c>
      <c r="J79" s="35">
        <f>'Input data'!J33+J42-(J$12-I$12)/'Input data'!$C$64*100</f>
        <v>3.6240838684307901</v>
      </c>
      <c r="K79" s="35">
        <f>'Input data'!K33+K42-(K$12-J$12)/'Input data'!$C$64*100</f>
        <v>4.048594875</v>
      </c>
      <c r="L79" s="35">
        <f>'Input data'!L33+L42-(L$12-K$12)/'Input data'!$C$64*100</f>
        <v>3.9565505000000001</v>
      </c>
      <c r="M79" s="35">
        <f>'Input data'!M33+M42-(M$12-L$12)/'Input data'!$C$64*100</f>
        <v>3.9205221249999997</v>
      </c>
      <c r="N79" s="35">
        <f>'Input data'!N33+N42-(N$12-M$12)/'Input data'!$C$64*100</f>
        <v>3.8875247499999999</v>
      </c>
      <c r="O79" s="35">
        <f>'Input data'!O33+O42-(O$12-N$12)/'Input data'!$C$64*100</f>
        <v>3.9024963750000001</v>
      </c>
      <c r="P79" s="35">
        <f>'Input data'!P33+P42-(P$12-O$12)/'Input data'!$C$64*100</f>
        <v>3.971441</v>
      </c>
      <c r="Q79" s="35">
        <f>'Input data'!Q33+Q42-(Q$12-P$12)/'Input data'!$C$64*100</f>
        <v>3.8970770000000003</v>
      </c>
      <c r="R79" s="35">
        <f>'Input data'!R33+R42-(R$12-Q$12)/'Input data'!$C$64*100</f>
        <v>3.8227139999999999</v>
      </c>
      <c r="S79" s="35">
        <f>'Input data'!S33+S42-(S$12-R$12)/'Input data'!$C$64*100</f>
        <v>3.7483499999999998</v>
      </c>
      <c r="T79" s="35">
        <f>'Input data'!T33+T42-(T$12-S$12)/'Input data'!$C$64*100</f>
        <v>3.6512040000000003</v>
      </c>
      <c r="U79" s="35">
        <f>'Input data'!U33+U42-(U$12-T$12)/'Input data'!$C$64*100</f>
        <v>3.5405199999999999</v>
      </c>
      <c r="V79" s="35">
        <f>'Input data'!V33+V42-(V$12-U$12)/'Input data'!$C$64*100</f>
        <v>3.4123700000000001</v>
      </c>
      <c r="W79" s="35">
        <f>'Input data'!W33+W42-(W$12-V$12)/'Input data'!$C$64*100</f>
        <v>3.323477</v>
      </c>
    </row>
    <row r="80" spans="2:23" x14ac:dyDescent="0.2">
      <c r="D80" s="23"/>
      <c r="E80" s="23"/>
      <c r="F80" s="337"/>
      <c r="G80" s="337"/>
      <c r="H80" s="337"/>
      <c r="I80" s="337"/>
      <c r="J80" s="337"/>
      <c r="K80" s="337"/>
      <c r="L80" s="337"/>
      <c r="M80" s="337"/>
      <c r="N80" s="23"/>
      <c r="O80" s="23"/>
      <c r="P80" s="23"/>
      <c r="Q80" s="23"/>
      <c r="R80" s="23"/>
      <c r="S80" s="23"/>
      <c r="T80" s="23"/>
      <c r="U80" s="23"/>
      <c r="V80" s="23"/>
      <c r="W80" s="23"/>
    </row>
    <row r="81" spans="2:23" x14ac:dyDescent="0.2">
      <c r="B81" s="89" t="s">
        <v>112</v>
      </c>
      <c r="C81" s="37"/>
      <c r="D81" s="153">
        <f ca="1">AVERAGE(OFFSET($G$79,0,0,1,'Criteria results'!F5))</f>
        <v>4.2603940871807895</v>
      </c>
      <c r="E81" s="23"/>
      <c r="F81" s="23"/>
      <c r="G81" s="304"/>
      <c r="H81" s="304"/>
      <c r="I81" s="304"/>
      <c r="J81" s="304"/>
      <c r="K81" s="304"/>
      <c r="L81" s="304"/>
      <c r="M81" s="304"/>
      <c r="N81" s="304"/>
      <c r="O81" s="304"/>
      <c r="P81" s="304"/>
      <c r="Q81" s="304"/>
      <c r="R81" s="304"/>
      <c r="S81" s="304"/>
      <c r="T81" s="304"/>
      <c r="U81" s="23"/>
      <c r="V81" s="23"/>
      <c r="W81" s="23"/>
    </row>
    <row r="82" spans="2:23" x14ac:dyDescent="0.2">
      <c r="B82" s="61"/>
      <c r="C82" s="61"/>
      <c r="D82" s="62"/>
      <c r="E82" s="23"/>
      <c r="F82" s="23"/>
      <c r="G82" s="23"/>
      <c r="H82" s="23"/>
      <c r="I82" s="23"/>
      <c r="J82" s="23"/>
      <c r="K82" s="23"/>
      <c r="L82" s="23"/>
      <c r="M82" s="23"/>
      <c r="N82" s="23"/>
      <c r="O82" s="23"/>
      <c r="P82" s="23"/>
      <c r="Q82" s="23"/>
      <c r="R82" s="23"/>
      <c r="S82" s="23"/>
      <c r="T82" s="23"/>
      <c r="U82" s="23"/>
      <c r="V82" s="23"/>
      <c r="W82" s="23"/>
    </row>
    <row r="83" spans="2:23" s="71" customFormat="1" ht="12.75" outlineLevel="1" x14ac:dyDescent="0.2">
      <c r="B83" s="72" t="s">
        <v>93</v>
      </c>
      <c r="C83" s="73"/>
      <c r="E83" s="74"/>
      <c r="F83" s="73"/>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94</v>
      </c>
      <c r="D85" s="18"/>
      <c r="E85" s="18"/>
      <c r="F85" s="18">
        <f t="shared" ref="F85:W85" si="35">IF((F90-E90*F43/((1+F24/100)*(1+F42/100)))&gt;0,1,0)</f>
        <v>1</v>
      </c>
      <c r="G85" s="18">
        <f t="shared" si="35"/>
        <v>1</v>
      </c>
      <c r="H85" s="18">
        <f t="shared" si="35"/>
        <v>1</v>
      </c>
      <c r="I85" s="18">
        <f t="shared" si="35"/>
        <v>1</v>
      </c>
      <c r="J85" s="18">
        <f t="shared" si="35"/>
        <v>1</v>
      </c>
      <c r="K85" s="18">
        <f t="shared" si="35"/>
        <v>1</v>
      </c>
      <c r="L85" s="18">
        <f t="shared" si="35"/>
        <v>1</v>
      </c>
      <c r="M85" s="18">
        <f t="shared" si="35"/>
        <v>1</v>
      </c>
      <c r="N85" s="18">
        <f t="shared" si="35"/>
        <v>1</v>
      </c>
      <c r="O85" s="18">
        <f t="shared" si="35"/>
        <v>1</v>
      </c>
      <c r="P85" s="18">
        <f t="shared" si="35"/>
        <v>1</v>
      </c>
      <c r="Q85" s="18">
        <f t="shared" si="35"/>
        <v>1</v>
      </c>
      <c r="R85" s="18">
        <f t="shared" si="35"/>
        <v>1</v>
      </c>
      <c r="S85" s="18">
        <f t="shared" si="35"/>
        <v>1</v>
      </c>
      <c r="T85" s="18">
        <f t="shared" si="35"/>
        <v>1</v>
      </c>
      <c r="U85" s="18">
        <f t="shared" si="35"/>
        <v>1</v>
      </c>
      <c r="V85" s="18">
        <f t="shared" si="35"/>
        <v>1</v>
      </c>
      <c r="W85" s="18">
        <f t="shared" si="35"/>
        <v>1</v>
      </c>
    </row>
    <row r="86" spans="2:23" x14ac:dyDescent="0.2">
      <c r="B86" s="15" t="s">
        <v>95</v>
      </c>
      <c r="D86" s="18"/>
      <c r="E86" s="18"/>
      <c r="F86" s="18">
        <f t="shared" ref="F86:W86" si="36">IF(AND(F85=0,ABS(F90-E90*F43/((1+F24/100)*(1+F42/100)))&lt;((E96*E90*F43/((1+F24/100)*(1+F42/100))+(F39*E90*E97*F43/((1+F24/100)*(1+F42/100)))))),1,0)</f>
        <v>0</v>
      </c>
      <c r="G86" s="18">
        <f t="shared" si="36"/>
        <v>0</v>
      </c>
      <c r="H86" s="18">
        <f t="shared" si="36"/>
        <v>0</v>
      </c>
      <c r="I86" s="18">
        <f t="shared" si="36"/>
        <v>0</v>
      </c>
      <c r="J86" s="18">
        <f t="shared" si="36"/>
        <v>0</v>
      </c>
      <c r="K86" s="18">
        <f t="shared" si="36"/>
        <v>0</v>
      </c>
      <c r="L86" s="18">
        <f t="shared" si="36"/>
        <v>0</v>
      </c>
      <c r="M86" s="18">
        <f t="shared" si="36"/>
        <v>0</v>
      </c>
      <c r="N86" s="18">
        <f t="shared" si="36"/>
        <v>0</v>
      </c>
      <c r="O86" s="18">
        <f t="shared" si="36"/>
        <v>0</v>
      </c>
      <c r="P86" s="18">
        <f t="shared" si="36"/>
        <v>0</v>
      </c>
      <c r="Q86" s="18">
        <f t="shared" si="36"/>
        <v>0</v>
      </c>
      <c r="R86" s="18">
        <f t="shared" si="36"/>
        <v>0</v>
      </c>
      <c r="S86" s="18">
        <f t="shared" si="36"/>
        <v>0</v>
      </c>
      <c r="T86" s="18">
        <f t="shared" si="36"/>
        <v>0</v>
      </c>
      <c r="U86" s="18">
        <f t="shared" si="36"/>
        <v>0</v>
      </c>
      <c r="V86" s="18">
        <f t="shared" si="36"/>
        <v>0</v>
      </c>
      <c r="W86" s="18">
        <f t="shared" si="36"/>
        <v>0</v>
      </c>
    </row>
    <row r="88" spans="2:23" x14ac:dyDescent="0.2">
      <c r="H88" s="27"/>
      <c r="I88" s="27"/>
      <c r="J88" s="27"/>
      <c r="K88" s="27"/>
      <c r="L88" s="27"/>
      <c r="M88" s="27"/>
      <c r="N88" s="27"/>
      <c r="O88" s="27"/>
      <c r="P88" s="27"/>
      <c r="Q88" s="27"/>
      <c r="R88" s="27"/>
      <c r="S88" s="27"/>
      <c r="T88" s="27"/>
    </row>
    <row r="89" spans="2:23" x14ac:dyDescent="0.2">
      <c r="B89" s="37"/>
      <c r="C89" s="66">
        <v>2021</v>
      </c>
      <c r="D89" s="66">
        <v>2022</v>
      </c>
      <c r="E89" s="66">
        <v>2023</v>
      </c>
      <c r="F89" s="66">
        <v>2024</v>
      </c>
      <c r="G89" s="66">
        <v>2025</v>
      </c>
      <c r="H89" s="66">
        <v>2026</v>
      </c>
      <c r="I89" s="66">
        <v>2027</v>
      </c>
      <c r="J89" s="66">
        <v>2028</v>
      </c>
      <c r="K89" s="66">
        <v>2029</v>
      </c>
      <c r="L89" s="66">
        <v>2030</v>
      </c>
      <c r="M89" s="66">
        <v>2031</v>
      </c>
      <c r="N89" s="66">
        <v>2032</v>
      </c>
      <c r="O89" s="66">
        <v>2033</v>
      </c>
      <c r="P89" s="66">
        <v>2034</v>
      </c>
      <c r="Q89" s="66">
        <v>2035</v>
      </c>
      <c r="R89" s="66">
        <v>2036</v>
      </c>
      <c r="S89" s="66">
        <v>2037</v>
      </c>
      <c r="T89" s="66">
        <v>2038</v>
      </c>
      <c r="U89" s="66">
        <v>2039</v>
      </c>
      <c r="V89" s="66">
        <v>2040</v>
      </c>
      <c r="W89" s="66">
        <v>2041</v>
      </c>
    </row>
    <row r="90" spans="2:23" x14ac:dyDescent="0.2">
      <c r="B90" s="83" t="s">
        <v>73</v>
      </c>
      <c r="C90" s="87">
        <f>C57</f>
        <v>43.287930000000003</v>
      </c>
      <c r="D90" s="87">
        <f>D57</f>
        <v>38.058251267161467</v>
      </c>
      <c r="E90" s="87">
        <f>E57</f>
        <v>37.344895037084065</v>
      </c>
      <c r="F90" s="87">
        <f>F57</f>
        <v>38.25865969882279</v>
      </c>
      <c r="G90" s="87">
        <f>G57</f>
        <v>40.74877946072607</v>
      </c>
      <c r="H90" s="87">
        <f t="shared" ref="H90:W90" si="37">G90*(1+H104/100)*H43-H60-H61+H62+H63+H64+H65+H66+H73</f>
        <v>43.648668912354282</v>
      </c>
      <c r="I90" s="87">
        <f t="shared" si="37"/>
        <v>43.220346968472079</v>
      </c>
      <c r="J90" s="87">
        <f t="shared" si="37"/>
        <v>42.742241902433307</v>
      </c>
      <c r="K90" s="87">
        <f t="shared" si="37"/>
        <v>42.335642472219149</v>
      </c>
      <c r="L90" s="87">
        <f t="shared" si="37"/>
        <v>42.060487915245872</v>
      </c>
      <c r="M90" s="87">
        <f t="shared" si="37"/>
        <v>41.901081795148507</v>
      </c>
      <c r="N90" s="87">
        <f t="shared" si="37"/>
        <v>42.102626706619006</v>
      </c>
      <c r="O90" s="87">
        <f t="shared" si="37"/>
        <v>42.518341842453516</v>
      </c>
      <c r="P90" s="87">
        <f t="shared" si="37"/>
        <v>43.099861758809325</v>
      </c>
      <c r="Q90" s="87">
        <f t="shared" si="37"/>
        <v>43.906427392589912</v>
      </c>
      <c r="R90" s="87">
        <f t="shared" si="37"/>
        <v>44.914602509297936</v>
      </c>
      <c r="S90" s="87">
        <f t="shared" si="37"/>
        <v>46.083537968625073</v>
      </c>
      <c r="T90" s="87">
        <f t="shared" si="37"/>
        <v>47.418746060084615</v>
      </c>
      <c r="U90" s="87">
        <f t="shared" si="37"/>
        <v>48.926936161571305</v>
      </c>
      <c r="V90" s="87">
        <f t="shared" si="37"/>
        <v>50.602820349699115</v>
      </c>
      <c r="W90" s="87">
        <f t="shared" si="37"/>
        <v>52.44486296323754</v>
      </c>
    </row>
    <row r="91" spans="2:23" x14ac:dyDescent="0.2">
      <c r="B91" s="15" t="s">
        <v>96</v>
      </c>
      <c r="C91" s="23"/>
      <c r="D91" s="23"/>
      <c r="E91" s="180">
        <f>'Input data'!$C$66*E$90</f>
        <v>32.450765687484939</v>
      </c>
      <c r="F91" s="23">
        <f t="shared" ref="F91:W91" si="38">IF(F90=0,0,IF(F85=1,E90*F43/((1+F24/100)*(1+F42/100))-F92-F93,IF(AND(F85=0,F86=1),(1-E96-F39*E97)*E90*F43/((1+F24/100)*(1+F42/100)),F90)))</f>
        <v>31.704784592903835</v>
      </c>
      <c r="G91" s="23">
        <f t="shared" si="38"/>
        <v>32.442661568989706</v>
      </c>
      <c r="H91" s="23">
        <f t="shared" si="38"/>
        <v>34.980403673608876</v>
      </c>
      <c r="I91" s="23">
        <f t="shared" si="38"/>
        <v>37.581032048489419</v>
      </c>
      <c r="J91" s="23">
        <f t="shared" si="38"/>
        <v>37.440152283334193</v>
      </c>
      <c r="K91" s="23">
        <f t="shared" si="38"/>
        <v>37.071841512787174</v>
      </c>
      <c r="L91" s="23">
        <f t="shared" si="38"/>
        <v>36.812107419237002</v>
      </c>
      <c r="M91" s="23">
        <f t="shared" si="38"/>
        <v>36.645072282116075</v>
      </c>
      <c r="N91" s="23">
        <f t="shared" si="38"/>
        <v>36.685512726749252</v>
      </c>
      <c r="O91" s="23">
        <f t="shared" si="38"/>
        <v>36.915406869764439</v>
      </c>
      <c r="P91" s="23">
        <f t="shared" si="38"/>
        <v>37.31382805766669</v>
      </c>
      <c r="Q91" s="23">
        <f t="shared" si="38"/>
        <v>37.848745798188673</v>
      </c>
      <c r="R91" s="23">
        <f t="shared" si="38"/>
        <v>38.582041486766208</v>
      </c>
      <c r="S91" s="23">
        <f t="shared" si="38"/>
        <v>39.493564074980696</v>
      </c>
      <c r="T91" s="23">
        <f t="shared" si="38"/>
        <v>40.55690977555814</v>
      </c>
      <c r="U91" s="23">
        <f t="shared" si="38"/>
        <v>41.774273911352516</v>
      </c>
      <c r="V91" s="23">
        <f t="shared" si="38"/>
        <v>43.154225043040753</v>
      </c>
      <c r="W91" s="23">
        <f t="shared" si="38"/>
        <v>44.668354192180843</v>
      </c>
    </row>
    <row r="92" spans="2:23" x14ac:dyDescent="0.2">
      <c r="B92" s="82" t="s">
        <v>97</v>
      </c>
      <c r="C92" s="23"/>
      <c r="D92" s="23"/>
      <c r="E92" s="180">
        <f>'Input data'!$C$67*E$90</f>
        <v>2.3390136891588988</v>
      </c>
      <c r="F92" s="23">
        <f t="shared" ref="F92:W92" si="39">IF(F90=0,0,IF(F85=1,F39*E90*E97*F43/((1+F24/100)*(1+F42/100)),IF(AND(F85=0,F86=1),(F39*E90*E97*F43/((1+F24/100)*(1+F42/100)))*(1-ABS(F90-E90*F43/((1+F24/100)*(1+F42/100)))/((F39*E90*E97*F43/((1+F24/100)*(1+F42/100)))+(E96*E90*F43/((1+F24/100)*(1+F42/100))))),0)))</f>
        <v>3.5725505459972733</v>
      </c>
      <c r="G92" s="23">
        <f t="shared" si="39"/>
        <v>3.5947303883005857</v>
      </c>
      <c r="H92" s="23">
        <f t="shared" si="39"/>
        <v>3.8104061173500785</v>
      </c>
      <c r="I92" s="23">
        <f t="shared" si="39"/>
        <v>4.0235456318238407</v>
      </c>
      <c r="J92" s="23">
        <f t="shared" si="39"/>
        <v>3.9388141610844798</v>
      </c>
      <c r="K92" s="23">
        <f t="shared" si="39"/>
        <v>3.8313348834361203</v>
      </c>
      <c r="L92" s="23">
        <f t="shared" si="39"/>
        <v>3.7364698970559931</v>
      </c>
      <c r="M92" s="23">
        <f t="shared" si="39"/>
        <v>3.6520289688780787</v>
      </c>
      <c r="N92" s="23">
        <f t="shared" si="39"/>
        <v>3.5887236282472146</v>
      </c>
      <c r="O92" s="23">
        <f t="shared" si="39"/>
        <v>3.5436810284457594</v>
      </c>
      <c r="P92" s="23">
        <f t="shared" si="39"/>
        <v>3.5138938171336611</v>
      </c>
      <c r="Q92" s="23">
        <f t="shared" si="39"/>
        <v>3.5642677465571011</v>
      </c>
      <c r="R92" s="23">
        <f t="shared" si="39"/>
        <v>3.6333231965163275</v>
      </c>
      <c r="S92" s="23">
        <f t="shared" si="39"/>
        <v>3.7191625154399848</v>
      </c>
      <c r="T92" s="23">
        <f t="shared" si="39"/>
        <v>3.819299222854732</v>
      </c>
      <c r="U92" s="23">
        <f t="shared" si="39"/>
        <v>3.9339400552924317</v>
      </c>
      <c r="V92" s="23">
        <f t="shared" si="39"/>
        <v>4.0638919257382087</v>
      </c>
      <c r="W92" s="23">
        <f t="shared" si="39"/>
        <v>4.2064795221457025</v>
      </c>
    </row>
    <row r="93" spans="2:23" x14ac:dyDescent="0.2">
      <c r="B93" s="82" t="s">
        <v>98</v>
      </c>
      <c r="C93" s="23"/>
      <c r="D93" s="23"/>
      <c r="E93" s="180">
        <f>'Input data'!$C$68*E$90</f>
        <v>0</v>
      </c>
      <c r="F93" s="23">
        <f t="shared" ref="F93:W93" si="40">IF(F90=0,0,IF(F85=1,(1-E97)*E90*F43/((1+F24/100)*(1+F42/100)),IF(AND(F85=0,F86=1),(E96*E90*F43/((1+F24/100)*(1+F42/100)))*(1-ABS(F90-E90*F43/((1+F24/100)*(1+F42/100)))/((F39*E90*E97*F43/((1+F24/100)*(1+F42/100)))+(E96*E90*F43/((1+F24/100)*(1+F42/100))))),0)))</f>
        <v>0</v>
      </c>
      <c r="G93" s="23">
        <f t="shared" si="40"/>
        <v>7.9571947490387155E-3</v>
      </c>
      <c r="H93" s="23">
        <f t="shared" si="40"/>
        <v>2.0269555171028283E-2</v>
      </c>
      <c r="I93" s="23">
        <f t="shared" si="40"/>
        <v>3.2408168163107098E-2</v>
      </c>
      <c r="J93" s="23">
        <f t="shared" si="40"/>
        <v>3.5352013194648139E-2</v>
      </c>
      <c r="K93" s="23">
        <f t="shared" si="40"/>
        <v>3.7465223631265275E-2</v>
      </c>
      <c r="L93" s="23">
        <f t="shared" si="40"/>
        <v>3.9707675014706414E-2</v>
      </c>
      <c r="M93" s="23">
        <f t="shared" si="40"/>
        <v>4.2082582433422958E-2</v>
      </c>
      <c r="N93" s="23">
        <f t="shared" si="40"/>
        <v>4.4751268802134217E-2</v>
      </c>
      <c r="O93" s="23">
        <f t="shared" si="40"/>
        <v>4.79166427684279E-2</v>
      </c>
      <c r="P93" s="23">
        <f t="shared" si="40"/>
        <v>5.1547731323817625E-2</v>
      </c>
      <c r="Q93" s="23">
        <f t="shared" si="40"/>
        <v>5.5649437405563502E-2</v>
      </c>
      <c r="R93" s="23">
        <f t="shared" si="40"/>
        <v>6.0231865184324045E-2</v>
      </c>
      <c r="S93" s="23">
        <f t="shared" si="40"/>
        <v>6.5240708860244662E-2</v>
      </c>
      <c r="T93" s="23">
        <f t="shared" si="40"/>
        <v>7.0589184810735159E-2</v>
      </c>
      <c r="U93" s="23">
        <f t="shared" si="40"/>
        <v>7.6285458288883751E-2</v>
      </c>
      <c r="V93" s="23">
        <f t="shared" si="40"/>
        <v>8.2355799368886207E-2</v>
      </c>
      <c r="W93" s="23">
        <f t="shared" si="40"/>
        <v>8.874009903088971E-2</v>
      </c>
    </row>
    <row r="94" spans="2:23" x14ac:dyDescent="0.2">
      <c r="B94" s="82" t="s">
        <v>99</v>
      </c>
      <c r="C94" s="23"/>
      <c r="D94" s="23"/>
      <c r="E94" s="180">
        <f>'Input data'!$C$69*E$90</f>
        <v>2.5551166604400901</v>
      </c>
      <c r="F94" s="23">
        <f>IF(F90=0,0,IF(F85=1,'Input data'!$C$58*(F90-E90*F43/((1+F24/100)*(1+F42/100))),0))</f>
        <v>2.9728787655758793</v>
      </c>
      <c r="G94" s="23">
        <f>IF(G90=0,0,IF(G85=1,'Input data'!$C$58*(G90-F90*G43/((1+G24/100)*(1+G42/100))),0))</f>
        <v>4.690105960965262</v>
      </c>
      <c r="H94" s="23">
        <f>IF(H90=0,0,IF(H85=1,'Input data'!$C$58*(H90-G90*H43/((1+H24/100)*(1+H42/100))),0))</f>
        <v>4.8238851587421454</v>
      </c>
      <c r="I94" s="23">
        <f>IF(I90=0,0,IF(I85=1,'Input data'!$C$58*(I90-H90*I43/((1+I24/100)*(1+I42/100))),0))</f>
        <v>1.5788756162788717</v>
      </c>
      <c r="J94" s="23">
        <f>IF(J90=0,0,IF(J85=1,'Input data'!$C$58*(J90-I90*J43/((1+J24/100)*(1+J42/100))),0))</f>
        <v>1.3241615704931566</v>
      </c>
      <c r="K94" s="23">
        <f>IF(K90=0,0,IF(K85=1,'Input data'!$C$58*(K90-J90*K43/((1+K24/100)*(1+K42/100))),0))</f>
        <v>1.3910489544499254</v>
      </c>
      <c r="L94" s="23">
        <f>IF(L90=0,0,IF(L85=1,'Input data'!$C$58*(L90-K90*L43/((1+L24/100)*(1+L42/100))),0))</f>
        <v>1.4680323202749523</v>
      </c>
      <c r="M94" s="23">
        <f>IF(M90=0,0,IF(M85=1,'Input data'!$C$58*(M90-L90*M43/((1+M24/100)*(1+M42/100))),0))</f>
        <v>1.5574732609851714</v>
      </c>
      <c r="N94" s="23">
        <f>IF(N90=0,0,IF(N85=1,'Input data'!$C$58*(N90-M90*N43/((1+N24/100)*(1+N42/100))),0))</f>
        <v>1.7785862116626783</v>
      </c>
      <c r="O94" s="23">
        <f>IF(O90=0,0,IF(O85=1,'Input data'!$C$58*(O90-N90*O43/((1+O24/100)*(1+O42/100))),0))</f>
        <v>2.0056393840335405</v>
      </c>
      <c r="P94" s="23">
        <f>IF(P90=0,0,IF(P85=1,'Input data'!$C$58*(P90-O90*P43/((1+P24/100)*(1+P42/100))),0))</f>
        <v>2.214301437175815</v>
      </c>
      <c r="Q94" s="23">
        <f>IF(Q90=0,0,IF(Q85=1,'Input data'!$C$58*(Q90-P90*Q43/((1+Q24/100)*(1+Q42/100))),0))</f>
        <v>2.4308584676402436</v>
      </c>
      <c r="R94" s="23">
        <f>IF(R90=0,0,IF(R85=1,'Input data'!$C$58*(R90-Q90*R43/((1+R24/100)*(1+R42/100))),0))</f>
        <v>2.6315299208446392</v>
      </c>
      <c r="S94" s="23">
        <f>IF(S90=0,0,IF(S85=1,'Input data'!$C$58*(S90-R90*S43/((1+S24/100)*(1+S42/100))),0))</f>
        <v>2.7976227681949641</v>
      </c>
      <c r="T94" s="23">
        <f>IF(T90=0,0,IF(T85=1,'Input data'!$C$58*(T90-S90*T43/((1+T24/100)*(1+T42/100))),0))</f>
        <v>2.9635286457206491</v>
      </c>
      <c r="U94" s="23">
        <f>IF(U90=0,0,IF(U85=1,'Input data'!$C$58*(U90-T90*U43/((1+U24/100)*(1+U42/100))),0))</f>
        <v>3.1335345276062507</v>
      </c>
      <c r="V94" s="23">
        <f>IF(V90=0,0,IF(V85=1,'Input data'!$C$58*(V90-U90*V43/((1+V24/100)*(1+V42/100))),0))</f>
        <v>3.29299236108749</v>
      </c>
      <c r="W94" s="23">
        <f>IF(W90=0,0,IF(W85=1,'Input data'!$C$58*(W90-V90*W43/((1+W24/100)*(1+W42/100))),0))</f>
        <v>3.4714270058474095</v>
      </c>
    </row>
    <row r="95" spans="2:23" x14ac:dyDescent="0.2">
      <c r="B95" s="84" t="s">
        <v>100</v>
      </c>
      <c r="C95" s="35"/>
      <c r="D95" s="35"/>
      <c r="E95" s="181">
        <f>'Input data'!$C$70*E$90</f>
        <v>0</v>
      </c>
      <c r="F95" s="35">
        <f>IF(F90=0,0,IF(F85=1,'Input data'!$C$57*(F90-E90*F43/((1+F24/100)*(1+F42/100))),0))</f>
        <v>8.4457943458021312E-3</v>
      </c>
      <c r="G95" s="35">
        <f>IF(G90=0,0,IF(G85=1,'Input data'!$C$57*(G90-F90*G43/((1+G24/100)*(1+G42/100))),0))</f>
        <v>1.3324347721478669E-2</v>
      </c>
      <c r="H95" s="35">
        <f>IF(H90=0,0,IF(H85=1,'Input data'!$C$57*(H90-G90*H43/((1+H24/100)*(1+H42/100))),0))</f>
        <v>1.3704407482156827E-2</v>
      </c>
      <c r="I95" s="35">
        <f>IF(I90=0,0,IF(I85=1,'Input data'!$C$57*(I90-H90*I43/((1+I24/100)*(1+I42/100))),0))</f>
        <v>4.4855037168358407E-3</v>
      </c>
      <c r="J95" s="35">
        <f>IF(J90=0,0,IF(J85=1,'Input data'!$C$57*(J90-I90*J43/((1+J24/100)*(1+J42/100))),0))</f>
        <v>3.7618743268305419E-3</v>
      </c>
      <c r="K95" s="35">
        <f>IF(K90=0,0,IF(K85=1,'Input data'!$C$57*(K90-J90*K43/((1+K24/100)*(1+K42/100))),0))</f>
        <v>3.9518979146636445E-3</v>
      </c>
      <c r="L95" s="35">
        <f>IF(L90=0,0,IF(L85=1,'Input data'!$C$57*(L90-K90*L43/((1+L24/100)*(1+L42/100))),0))</f>
        <v>4.1706036632244616E-3</v>
      </c>
      <c r="M95" s="35">
        <f>IF(M90=0,0,IF(M85=1,'Input data'!$C$57*(M90-L90*M43/((1+M24/100)*(1+M42/100))),0))</f>
        <v>4.4247007357592245E-3</v>
      </c>
      <c r="N95" s="35">
        <f>IF(N90=0,0,IF(N85=1,'Input data'!$C$57*(N90-M90*N43/((1+N24/100)*(1+N42/100))),0))</f>
        <v>5.0528711577219124E-3</v>
      </c>
      <c r="O95" s="35">
        <f>IF(O90=0,0,IF(O85=1,'Input data'!$C$57*(O90-N90*O43/((1+O24/100)*(1+O42/100))),0))</f>
        <v>5.6979174413482126E-3</v>
      </c>
      <c r="P95" s="35">
        <f>IF(P90=0,0,IF(P85=1,'Input data'!$C$57*(P90-O90*P43/((1+P24/100)*(1+P42/100))),0))</f>
        <v>6.2907155093417811E-3</v>
      </c>
      <c r="Q95" s="35">
        <f>IF(Q90=0,0,IF(Q85=1,'Input data'!$C$57*(Q90-P90*Q43/((1+Q24/100)*(1+Q42/100))),0))</f>
        <v>6.90594279833144E-3</v>
      </c>
      <c r="R95" s="35">
        <f>IF(R90=0,0,IF(R85=1,'Input data'!$C$57*(R90-Q90*R43/((1+R24/100)*(1+R42/100))),0))</f>
        <v>7.476039986438361E-3</v>
      </c>
      <c r="S95" s="35">
        <f>IF(S90=0,0,IF(S85=1,'Input data'!$C$57*(S90-R90*S43/((1+S24/100)*(1+S42/100))),0))</f>
        <v>7.9479011491850413E-3</v>
      </c>
      <c r="T95" s="35">
        <f>IF(T90=0,0,IF(T85=1,'Input data'!$C$57*(T90-S90*T43/((1+T24/100)*(1+T42/100))),0))</f>
        <v>8.4192311403595531E-3</v>
      </c>
      <c r="U95" s="35">
        <f>IF(U90=0,0,IF(U85=1,'Input data'!$C$57*(U90-T90*U43/((1+U24/100)*(1+U42/100))),0))</f>
        <v>8.9022090312202914E-3</v>
      </c>
      <c r="V95" s="35">
        <f>IF(V90=0,0,IF(V85=1,'Input data'!$C$57*(V90-U90*V43/((1+V24/100)*(1+V42/100))),0))</f>
        <v>9.355220463776584E-3</v>
      </c>
      <c r="W95" s="35">
        <f>IF(W90=0,0,IF(W85=1,'Input data'!$C$57*(W90-V90*W43/((1+W24/100)*(1+W42/100))),0))</f>
        <v>9.8621440326953497E-3</v>
      </c>
    </row>
    <row r="96" spans="2:23" x14ac:dyDescent="0.2">
      <c r="B96" s="15" t="s">
        <v>51</v>
      </c>
      <c r="C96" s="25"/>
      <c r="D96" s="25"/>
      <c r="E96" s="185">
        <f>'Baseline NFPC'!E$93</f>
        <v>0</v>
      </c>
      <c r="F96" s="25">
        <f t="shared" ref="F96:G96" si="41">IF(F90&lt;&gt;0,(F93+F95)/(F91+F92+F93+F94+F95),0)</f>
        <v>2.2075510256471442E-4</v>
      </c>
      <c r="G96" s="25">
        <f t="shared" si="41"/>
        <v>5.2226208372765297E-4</v>
      </c>
      <c r="H96" s="25">
        <f t="shared" ref="H96:W96" si="42">IF(H90&lt;&gt;0,(H93+H95)/(H91+H92+H93+H94+H95),0)</f>
        <v>7.7835048581674276E-4</v>
      </c>
      <c r="I96" s="25">
        <f t="shared" si="42"/>
        <v>8.5361813284043613E-4</v>
      </c>
      <c r="J96" s="25">
        <f t="shared" si="42"/>
        <v>9.1511080796283489E-4</v>
      </c>
      <c r="K96" s="25">
        <f t="shared" si="42"/>
        <v>9.7830383873604939E-4</v>
      </c>
      <c r="L96" s="25">
        <f t="shared" si="42"/>
        <v>1.0432184896748691E-3</v>
      </c>
      <c r="M96" s="25">
        <f t="shared" si="42"/>
        <v>1.1099303687802876E-3</v>
      </c>
      <c r="N96" s="25">
        <f t="shared" si="42"/>
        <v>1.1829223935813573E-3</v>
      </c>
      <c r="O96" s="25">
        <f t="shared" si="42"/>
        <v>1.260974861353678E-3</v>
      </c>
      <c r="P96" s="25">
        <f t="shared" si="42"/>
        <v>1.3419636275593763E-3</v>
      </c>
      <c r="Q96" s="25">
        <f t="shared" si="42"/>
        <v>1.424743116641105E-3</v>
      </c>
      <c r="R96" s="25">
        <f t="shared" si="42"/>
        <v>1.5074808945875885E-3</v>
      </c>
      <c r="S96" s="25">
        <f t="shared" si="42"/>
        <v>1.588172550016852E-3</v>
      </c>
      <c r="T96" s="25">
        <f t="shared" si="42"/>
        <v>1.6661852645994185E-3</v>
      </c>
      <c r="U96" s="25">
        <f>IF(U90&lt;&gt;0,(U93+U95)/(U91+U92+U93+U94+U95),0)</f>
        <v>1.7411200047104732E-3</v>
      </c>
      <c r="V96" s="25">
        <f t="shared" si="42"/>
        <v>1.8123697295699863E-3</v>
      </c>
      <c r="W96" s="23">
        <f t="shared" si="42"/>
        <v>1.8801125123103599E-3</v>
      </c>
    </row>
    <row r="97" spans="2:25" x14ac:dyDescent="0.2">
      <c r="B97" s="24" t="s">
        <v>52</v>
      </c>
      <c r="C97" s="85"/>
      <c r="D97" s="85"/>
      <c r="E97" s="186">
        <f>'Baseline NFPC'!E$94</f>
        <v>1</v>
      </c>
      <c r="F97" s="85">
        <f t="shared" ref="F97:G97" si="43">IF(F90&lt;&gt;0,(F91+F92+F94)/(F91+F92+F93+F94+F95),1)</f>
        <v>0.9997792448974353</v>
      </c>
      <c r="G97" s="85">
        <f t="shared" si="43"/>
        <v>0.99947773791627237</v>
      </c>
      <c r="H97" s="85">
        <f t="shared" ref="H97:W97" si="44">IF(H90&lt;&gt;0,(H91+H92+H94)/(H91+H92+H93+H94+H95),1)</f>
        <v>0.99922164951418324</v>
      </c>
      <c r="I97" s="85">
        <f t="shared" si="44"/>
        <v>0.99914638186715954</v>
      </c>
      <c r="J97" s="85">
        <f t="shared" si="44"/>
        <v>0.99908488919203708</v>
      </c>
      <c r="K97" s="85">
        <f t="shared" si="44"/>
        <v>0.99902169616126402</v>
      </c>
      <c r="L97" s="85">
        <f t="shared" si="44"/>
        <v>0.99895678151032519</v>
      </c>
      <c r="M97" s="85">
        <f t="shared" si="44"/>
        <v>0.99889006963121962</v>
      </c>
      <c r="N97" s="85">
        <f t="shared" si="44"/>
        <v>0.99881707760641858</v>
      </c>
      <c r="O97" s="85">
        <f t="shared" si="44"/>
        <v>0.99873902513864643</v>
      </c>
      <c r="P97" s="85">
        <f t="shared" si="44"/>
        <v>0.99865803637244066</v>
      </c>
      <c r="Q97" s="85">
        <f t="shared" si="44"/>
        <v>0.99857525688335891</v>
      </c>
      <c r="R97" s="85">
        <f t="shared" si="44"/>
        <v>0.99849251910541259</v>
      </c>
      <c r="S97" s="85">
        <f t="shared" si="44"/>
        <v>0.99841182744998314</v>
      </c>
      <c r="T97" s="85">
        <f t="shared" si="44"/>
        <v>0.99833381473540062</v>
      </c>
      <c r="U97" s="85">
        <f t="shared" si="44"/>
        <v>0.99825887999528951</v>
      </c>
      <c r="V97" s="85">
        <f t="shared" si="44"/>
        <v>0.99818763027043012</v>
      </c>
      <c r="W97" s="35">
        <f t="shared" si="44"/>
        <v>0.99811988748768976</v>
      </c>
      <c r="X97" s="47"/>
      <c r="Y97" s="47"/>
    </row>
    <row r="98" spans="2:25" x14ac:dyDescent="0.2">
      <c r="C98" s="27"/>
      <c r="D98" s="27"/>
      <c r="E98" s="27"/>
      <c r="F98" s="27"/>
      <c r="G98" s="27"/>
      <c r="H98" s="27"/>
      <c r="I98" s="27"/>
      <c r="J98" s="27"/>
      <c r="K98" s="27"/>
      <c r="L98" s="27"/>
      <c r="M98" s="27"/>
      <c r="N98" s="27"/>
      <c r="O98" s="27"/>
      <c r="P98" s="27"/>
      <c r="Q98" s="27"/>
      <c r="R98" s="27"/>
      <c r="S98" s="27"/>
      <c r="T98" s="27"/>
      <c r="U98" s="27"/>
      <c r="V98" s="27"/>
      <c r="W98" s="27"/>
      <c r="X98" s="47"/>
      <c r="Y98" s="47"/>
    </row>
    <row r="99" spans="2:25" x14ac:dyDescent="0.2">
      <c r="B99" s="89" t="s">
        <v>101</v>
      </c>
      <c r="C99" s="91">
        <f>'Baseline NFPC'!C96</f>
        <v>1.1161000000000001</v>
      </c>
      <c r="D99" s="91">
        <f>'Baseline NFPC'!D96</f>
        <v>0.91907830000000001</v>
      </c>
      <c r="E99" s="91">
        <f>'Baseline NFPC'!E96</f>
        <v>1.699492</v>
      </c>
      <c r="F99" s="91">
        <f>'Baseline NFPC'!F96</f>
        <v>2.2164999999999999</v>
      </c>
      <c r="G99" s="91">
        <f>'Baseline NFPC'!G96</f>
        <v>2.5547230000000001</v>
      </c>
      <c r="H99" s="91">
        <f>H101+H102</f>
        <v>2.8932796137143195</v>
      </c>
      <c r="I99" s="91">
        <f t="shared" ref="I99:W99" si="45">I101+I102</f>
        <v>2.9559423549637596</v>
      </c>
      <c r="J99" s="91">
        <f t="shared" si="45"/>
        <v>3.0016280918303835</v>
      </c>
      <c r="K99" s="91">
        <f t="shared" si="45"/>
        <v>3.0514426520075948</v>
      </c>
      <c r="L99" s="91">
        <f t="shared" si="45"/>
        <v>3.1072545889112537</v>
      </c>
      <c r="M99" s="91">
        <f t="shared" si="45"/>
        <v>3.1684217186908108</v>
      </c>
      <c r="N99" s="91">
        <f t="shared" si="45"/>
        <v>3.234421180918706</v>
      </c>
      <c r="O99" s="91">
        <f t="shared" si="45"/>
        <v>3.3061296137632215</v>
      </c>
      <c r="P99" s="91">
        <f t="shared" si="45"/>
        <v>3.3829308710229453</v>
      </c>
      <c r="Q99" s="91">
        <f t="shared" si="45"/>
        <v>3.451469358609959</v>
      </c>
      <c r="R99" s="91">
        <f t="shared" si="45"/>
        <v>3.513205650318751</v>
      </c>
      <c r="S99" s="91">
        <f t="shared" si="45"/>
        <v>3.5683555819210486</v>
      </c>
      <c r="T99" s="91">
        <f t="shared" si="45"/>
        <v>3.6171754148881576</v>
      </c>
      <c r="U99" s="91">
        <f t="shared" si="45"/>
        <v>3.6602897389267355</v>
      </c>
      <c r="V99" s="91">
        <f t="shared" si="45"/>
        <v>3.6983245134953737</v>
      </c>
      <c r="W99" s="91">
        <f t="shared" si="45"/>
        <v>3.7318057188341536</v>
      </c>
      <c r="X99" s="47"/>
      <c r="Y99" s="47"/>
    </row>
    <row r="100" spans="2:25" x14ac:dyDescent="0.2">
      <c r="B100" s="22" t="s">
        <v>102</v>
      </c>
      <c r="C100" s="23"/>
      <c r="D100" s="23"/>
      <c r="E100" s="23"/>
      <c r="F100" s="190">
        <f>((F36*E90)-(F38*(E93+E95)))/(E91+E92+E94)</f>
        <v>2.2164999406478545</v>
      </c>
      <c r="G100" s="190">
        <f>((G36*F90)-(G38*(F93+F95)))/(F91+F92+F94)</f>
        <v>2.5548308567171363</v>
      </c>
      <c r="H100" s="23">
        <f>IF(G90&gt;0,(G100*G91+
('Baseline NFPC'!H97*(G91+G92+G94)-'Baseline NFPC'!G97*G91)/(G92+G94)
*(G94+G92))/(G91+G92+G94),H37)</f>
        <v>2.8937486043366052</v>
      </c>
      <c r="I100" s="23">
        <f t="shared" ref="I100:W100" si="46">IF(H90&gt;0,(H100*H91+I37*(H94+H92))/(H91+H92+H94),I37)</f>
        <v>2.9566252331604663</v>
      </c>
      <c r="J100" s="23">
        <f t="shared" si="46"/>
        <v>3.0023447253589177</v>
      </c>
      <c r="K100" s="23">
        <f t="shared" si="46"/>
        <v>3.0521800712396132</v>
      </c>
      <c r="L100" s="23">
        <f t="shared" si="46"/>
        <v>3.1080158324001097</v>
      </c>
      <c r="M100" s="23">
        <f t="shared" si="46"/>
        <v>3.1692101677520315</v>
      </c>
      <c r="N100" s="23">
        <f t="shared" si="46"/>
        <v>3.2352406210006368</v>
      </c>
      <c r="O100" s="23">
        <f t="shared" si="46"/>
        <v>3.3069889997843691</v>
      </c>
      <c r="P100" s="23">
        <f t="shared" si="46"/>
        <v>3.3838385314861368</v>
      </c>
      <c r="Q100" s="23">
        <f t="shared" si="46"/>
        <v>3.4525721086439383</v>
      </c>
      <c r="R100" s="23">
        <f t="shared" si="46"/>
        <v>3.514511975876883</v>
      </c>
      <c r="S100" s="23">
        <f t="shared" si="46"/>
        <v>3.5698712722132036</v>
      </c>
      <c r="T100" s="23">
        <f t="shared" si="46"/>
        <v>3.6189028365596165</v>
      </c>
      <c r="U100" s="23">
        <f t="shared" si="46"/>
        <v>3.6622295235142586</v>
      </c>
      <c r="V100" s="23">
        <f t="shared" si="46"/>
        <v>3.7004759370251477</v>
      </c>
      <c r="W100" s="23">
        <f t="shared" si="46"/>
        <v>3.7341664154350322</v>
      </c>
      <c r="X100" s="47"/>
      <c r="Y100" s="47"/>
    </row>
    <row r="101" spans="2:25" x14ac:dyDescent="0.2">
      <c r="B101" s="15" t="s">
        <v>103</v>
      </c>
      <c r="C101" s="331"/>
      <c r="D101" s="331"/>
      <c r="E101" s="331"/>
      <c r="F101" s="331">
        <f t="shared" ref="F101:W101" si="47">(F100*(E91+E92+E94)+F38*(E93+E95))/E90</f>
        <v>2.2164999999999999</v>
      </c>
      <c r="G101" s="331">
        <f t="shared" si="47"/>
        <v>2.5547230000000005</v>
      </c>
      <c r="H101" s="331">
        <f t="shared" si="47"/>
        <v>2.8932796137143195</v>
      </c>
      <c r="I101" s="331">
        <f t="shared" si="47"/>
        <v>2.9559423549637596</v>
      </c>
      <c r="J101" s="331">
        <f t="shared" si="47"/>
        <v>3.0016280918303835</v>
      </c>
      <c r="K101" s="331">
        <f t="shared" si="47"/>
        <v>3.0514426520075948</v>
      </c>
      <c r="L101" s="331">
        <f t="shared" si="47"/>
        <v>3.1072545889112537</v>
      </c>
      <c r="M101" s="331">
        <f t="shared" si="47"/>
        <v>3.1684217186908108</v>
      </c>
      <c r="N101" s="331">
        <f t="shared" si="47"/>
        <v>3.234421180918706</v>
      </c>
      <c r="O101" s="331">
        <f t="shared" si="47"/>
        <v>3.3061296137632215</v>
      </c>
      <c r="P101" s="331">
        <f t="shared" si="47"/>
        <v>3.3829308710229453</v>
      </c>
      <c r="Q101" s="331">
        <f t="shared" si="47"/>
        <v>3.451469358609959</v>
      </c>
      <c r="R101" s="331">
        <f t="shared" si="47"/>
        <v>3.513205650318751</v>
      </c>
      <c r="S101" s="331">
        <f t="shared" si="47"/>
        <v>3.5683555819210486</v>
      </c>
      <c r="T101" s="331">
        <f t="shared" si="47"/>
        <v>3.6171754148881576</v>
      </c>
      <c r="U101" s="331">
        <f t="shared" si="47"/>
        <v>3.6602897389267355</v>
      </c>
      <c r="V101" s="331">
        <f t="shared" si="47"/>
        <v>3.6983245134953737</v>
      </c>
      <c r="W101" s="331">
        <f t="shared" si="47"/>
        <v>3.7318057188341536</v>
      </c>
      <c r="X101" s="47"/>
      <c r="Y101" s="47"/>
    </row>
    <row r="102" spans="2:25" x14ac:dyDescent="0.2">
      <c r="B102" s="24" t="s">
        <v>104</v>
      </c>
      <c r="C102" s="35"/>
      <c r="D102" s="35"/>
      <c r="E102" s="35"/>
      <c r="F102" s="35">
        <f>'Adjust. no safeguard'!F104</f>
        <v>0</v>
      </c>
      <c r="G102" s="35">
        <f>'Adjust. no safeguard'!G104</f>
        <v>0</v>
      </c>
      <c r="H102" s="35">
        <f>'Adjust. no safeguard'!H104</f>
        <v>0</v>
      </c>
      <c r="I102" s="35">
        <f>'Adjust. no safeguard'!I104</f>
        <v>0</v>
      </c>
      <c r="J102" s="35">
        <f>'Adjust. no safeguard'!J104</f>
        <v>0</v>
      </c>
      <c r="K102" s="35">
        <f>'Adjust. no safeguard'!K104</f>
        <v>0</v>
      </c>
      <c r="L102" s="35">
        <f>'Adjust. no safeguard'!L104</f>
        <v>0</v>
      </c>
      <c r="M102" s="35">
        <f>'Adjust. no safeguard'!M104</f>
        <v>0</v>
      </c>
      <c r="N102" s="35">
        <f>'Adjust. no safeguard'!N104</f>
        <v>0</v>
      </c>
      <c r="O102" s="35">
        <f>'Adjust. no safeguard'!O104</f>
        <v>0</v>
      </c>
      <c r="P102" s="35">
        <f>'Adjust. no safeguard'!P104</f>
        <v>0</v>
      </c>
      <c r="Q102" s="35">
        <f>'Adjust. no safeguard'!Q104</f>
        <v>0</v>
      </c>
      <c r="R102" s="35">
        <f>'Adjust. no safeguard'!R104</f>
        <v>0</v>
      </c>
      <c r="S102" s="35">
        <f>'Adjust. no safeguard'!S104</f>
        <v>0</v>
      </c>
      <c r="T102" s="35">
        <f>'Adjust. no safeguard'!T104</f>
        <v>0</v>
      </c>
      <c r="U102" s="35">
        <f>'Adjust. no safeguard'!U104</f>
        <v>0</v>
      </c>
      <c r="V102" s="35">
        <f>'Adjust. no safeguard'!V104</f>
        <v>0</v>
      </c>
      <c r="W102" s="35">
        <f>'Adjust. no safeguard'!W104</f>
        <v>0</v>
      </c>
      <c r="X102" s="47"/>
      <c r="Y102" s="47"/>
    </row>
    <row r="103" spans="2:25" x14ac:dyDescent="0.2">
      <c r="C103" s="27"/>
      <c r="D103" s="27"/>
      <c r="E103" s="27"/>
      <c r="F103" s="27"/>
      <c r="G103" s="23"/>
      <c r="H103" s="23"/>
      <c r="I103" s="23"/>
      <c r="J103" s="23"/>
      <c r="K103" s="23"/>
      <c r="L103" s="23"/>
      <c r="M103" s="23"/>
      <c r="N103" s="23"/>
      <c r="O103" s="23"/>
      <c r="P103" s="23"/>
      <c r="Q103" s="23"/>
      <c r="R103" s="23"/>
      <c r="S103" s="23"/>
      <c r="T103" s="23"/>
      <c r="U103" s="23"/>
      <c r="V103" s="23"/>
      <c r="W103" s="23"/>
      <c r="X103" s="47"/>
      <c r="Y103" s="47"/>
    </row>
    <row r="104" spans="2:25" x14ac:dyDescent="0.2">
      <c r="B104" s="89" t="s">
        <v>133</v>
      </c>
      <c r="C104" s="91">
        <f t="shared" ref="C104:W104" si="48">((1+C99/100)/((1+C24/100)*(1+C42/100))-1)*100</f>
        <v>-10.328304450846248</v>
      </c>
      <c r="D104" s="91">
        <f t="shared" si="48"/>
        <v>-15.202437346376829</v>
      </c>
      <c r="E104" s="91">
        <f t="shared" si="48"/>
        <v>-7.0345219296062078</v>
      </c>
      <c r="F104" s="91">
        <f t="shared" si="48"/>
        <v>-3.4426064487597552</v>
      </c>
      <c r="G104" s="91">
        <f t="shared" si="48"/>
        <v>-3.3781842728395794</v>
      </c>
      <c r="H104" s="91">
        <f t="shared" si="48"/>
        <v>-1.9995373574251962</v>
      </c>
      <c r="I104" s="91">
        <f t="shared" si="48"/>
        <v>-1.7890986903188133</v>
      </c>
      <c r="J104" s="91">
        <f t="shared" si="48"/>
        <v>-1.3024529729147805</v>
      </c>
      <c r="K104" s="91">
        <f t="shared" si="48"/>
        <v>-1.292211305728197</v>
      </c>
      <c r="L104" s="91">
        <f t="shared" si="48"/>
        <v>-1.1483849176912697</v>
      </c>
      <c r="M104" s="91">
        <f t="shared" si="48"/>
        <v>-1.053693483039031</v>
      </c>
      <c r="N104" s="91">
        <f t="shared" si="48"/>
        <v>-0.66348715546995507</v>
      </c>
      <c r="O104" s="91">
        <f t="shared" si="48"/>
        <v>-0.60900735398146111</v>
      </c>
      <c r="P104" s="91">
        <f t="shared" si="48"/>
        <v>-0.60245718406475302</v>
      </c>
      <c r="Q104" s="91">
        <f t="shared" si="48"/>
        <v>-0.46385434255585833</v>
      </c>
      <c r="R104" s="91">
        <f t="shared" si="48"/>
        <v>-0.33161932346364997</v>
      </c>
      <c r="S104" s="91">
        <f t="shared" si="48"/>
        <v>-0.20555330113862791</v>
      </c>
      <c r="T104" s="91">
        <f t="shared" si="48"/>
        <v>-6.2975045085966741E-2</v>
      </c>
      <c r="U104" s="91">
        <f t="shared" si="48"/>
        <v>8.7726274470290022E-2</v>
      </c>
      <c r="V104" s="91">
        <f t="shared" si="48"/>
        <v>0.2511123638611501</v>
      </c>
      <c r="W104" s="91">
        <f t="shared" si="48"/>
        <v>0.37147911928963051</v>
      </c>
      <c r="X104" s="47"/>
      <c r="Y104" s="47"/>
    </row>
    <row r="105" spans="2:25" x14ac:dyDescent="0.2">
      <c r="F105" s="23"/>
      <c r="G105" s="23"/>
      <c r="H105" s="23"/>
      <c r="I105" s="23"/>
      <c r="J105" s="23"/>
      <c r="K105" s="23"/>
      <c r="L105" s="23"/>
      <c r="M105" s="23"/>
      <c r="N105" s="23"/>
      <c r="O105" s="23"/>
      <c r="P105" s="23"/>
      <c r="Q105" s="23"/>
      <c r="R105" s="23"/>
      <c r="S105" s="23"/>
      <c r="T105" s="23"/>
      <c r="U105" s="23"/>
      <c r="V105" s="23"/>
      <c r="W105" s="23"/>
      <c r="X105" s="47"/>
      <c r="Y105" s="47"/>
    </row>
    <row r="106" spans="2:25" x14ac:dyDescent="0.2">
      <c r="I106" s="179"/>
      <c r="J106" s="179"/>
      <c r="K106" s="179"/>
      <c r="L106" s="179"/>
      <c r="M106" s="179"/>
      <c r="N106" s="179"/>
      <c r="O106" s="179"/>
      <c r="P106" s="179"/>
      <c r="Q106" s="179"/>
      <c r="R106" s="179"/>
      <c r="S106" s="179"/>
      <c r="T106" s="179"/>
      <c r="U106" s="23"/>
      <c r="V106" s="23"/>
      <c r="W106" s="23"/>
      <c r="X106" s="47"/>
      <c r="Y106" s="47"/>
    </row>
    <row r="107" spans="2:25" x14ac:dyDescent="0.2">
      <c r="B107" s="334"/>
      <c r="C107" s="334"/>
      <c r="D107" s="334"/>
      <c r="E107" s="334"/>
      <c r="F107" s="335"/>
      <c r="G107" s="336"/>
      <c r="H107" s="336"/>
      <c r="T107" s="47"/>
      <c r="U107" s="47"/>
      <c r="V107" s="47"/>
      <c r="W107" s="47"/>
      <c r="X107" s="47"/>
      <c r="Y107" s="47"/>
    </row>
    <row r="108" spans="2:25" x14ac:dyDescent="0.2">
      <c r="T108" s="47"/>
      <c r="U108" s="92"/>
      <c r="V108" s="92"/>
      <c r="W108" s="92"/>
      <c r="X108" s="92"/>
      <c r="Y108" s="47"/>
    </row>
    <row r="109" spans="2:25" x14ac:dyDescent="0.2">
      <c r="H109" s="97"/>
      <c r="I109" s="97"/>
      <c r="J109" s="97"/>
      <c r="K109" s="97"/>
      <c r="L109" s="97"/>
      <c r="M109" s="97"/>
      <c r="N109" s="97"/>
      <c r="O109" s="97"/>
      <c r="P109" s="97"/>
      <c r="Q109" s="97"/>
      <c r="R109" s="97"/>
      <c r="S109" s="97"/>
      <c r="T109" s="97"/>
      <c r="U109" s="97"/>
      <c r="V109" s="97"/>
      <c r="W109" s="97"/>
    </row>
    <row r="110" spans="2:25" x14ac:dyDescent="0.2">
      <c r="E110" s="23"/>
      <c r="F110" s="23"/>
      <c r="G110" s="97"/>
      <c r="H110" s="97"/>
      <c r="I110" s="97"/>
      <c r="J110" s="97"/>
      <c r="K110" s="97"/>
      <c r="L110" s="97"/>
      <c r="M110" s="97"/>
      <c r="N110" s="97"/>
      <c r="O110" s="97"/>
      <c r="P110" s="97"/>
      <c r="Q110" s="97"/>
      <c r="R110" s="97"/>
      <c r="S110" s="97"/>
      <c r="T110" s="97"/>
      <c r="U110" s="97"/>
      <c r="V110" s="97"/>
      <c r="W110" s="97"/>
    </row>
    <row r="111" spans="2:25" x14ac:dyDescent="0.2">
      <c r="E111" s="23"/>
      <c r="F111" s="23"/>
      <c r="G111" s="97"/>
      <c r="H111" s="97"/>
      <c r="I111" s="97"/>
      <c r="J111" s="97"/>
      <c r="K111" s="97"/>
      <c r="L111" s="97"/>
      <c r="M111" s="97"/>
      <c r="N111" s="97"/>
      <c r="O111" s="97"/>
      <c r="P111" s="97"/>
      <c r="Q111" s="97"/>
      <c r="R111" s="97"/>
      <c r="S111" s="97"/>
      <c r="T111" s="97"/>
      <c r="U111" s="97"/>
      <c r="V111" s="97"/>
      <c r="W111" s="97"/>
    </row>
    <row r="114" spans="5:24" x14ac:dyDescent="0.2">
      <c r="E114" s="23"/>
      <c r="F114" s="23"/>
      <c r="G114" s="97"/>
      <c r="H114" s="97"/>
      <c r="I114" s="97"/>
      <c r="J114" s="97"/>
      <c r="K114" s="97"/>
      <c r="L114" s="97"/>
      <c r="M114" s="97"/>
      <c r="N114" s="97"/>
      <c r="O114" s="97"/>
      <c r="P114" s="97"/>
      <c r="Q114" s="97"/>
      <c r="R114" s="97"/>
      <c r="S114" s="97"/>
      <c r="T114" s="97"/>
      <c r="U114" s="97"/>
      <c r="V114" s="97"/>
      <c r="W114" s="97"/>
    </row>
    <row r="115" spans="5:24" x14ac:dyDescent="0.2">
      <c r="E115" s="23"/>
      <c r="F115" s="23"/>
      <c r="G115" s="97"/>
      <c r="H115" s="97"/>
      <c r="I115" s="97"/>
      <c r="J115" s="97"/>
      <c r="K115" s="97"/>
      <c r="L115" s="97"/>
      <c r="M115" s="97"/>
      <c r="N115" s="97"/>
      <c r="O115" s="97"/>
      <c r="P115" s="97"/>
      <c r="Q115" s="97"/>
      <c r="R115" s="97"/>
      <c r="S115" s="97"/>
      <c r="T115" s="97"/>
      <c r="U115" s="97"/>
      <c r="V115" s="97"/>
      <c r="W115" s="97"/>
      <c r="X115" s="38"/>
    </row>
    <row r="116" spans="5:24" x14ac:dyDescent="0.2">
      <c r="G116" s="38"/>
      <c r="H116" s="38"/>
      <c r="I116" s="38"/>
      <c r="J116" s="38"/>
      <c r="K116" s="38"/>
      <c r="L116" s="38"/>
      <c r="M116" s="38"/>
      <c r="N116" s="38"/>
      <c r="O116" s="38"/>
      <c r="P116" s="38"/>
      <c r="Q116" s="38"/>
      <c r="R116" s="38"/>
      <c r="S116" s="38"/>
      <c r="T116" s="38"/>
      <c r="U116" s="38"/>
      <c r="V116" s="38"/>
      <c r="W116" s="38"/>
      <c r="X116" s="38"/>
    </row>
    <row r="117" spans="5:24" x14ac:dyDescent="0.2">
      <c r="E117" s="23"/>
      <c r="F117" s="23"/>
      <c r="G117" s="97"/>
      <c r="H117" s="97"/>
      <c r="I117" s="97"/>
      <c r="J117" s="97"/>
      <c r="K117" s="97"/>
      <c r="L117" s="97"/>
      <c r="M117" s="97"/>
      <c r="N117" s="97"/>
      <c r="O117" s="97"/>
      <c r="P117" s="97"/>
      <c r="Q117" s="97"/>
      <c r="R117" s="97"/>
      <c r="S117" s="97"/>
      <c r="T117" s="97"/>
      <c r="U117" s="97"/>
      <c r="V117" s="97"/>
      <c r="W117" s="97"/>
      <c r="X117" s="38"/>
    </row>
    <row r="118" spans="5:24" x14ac:dyDescent="0.2">
      <c r="E118" s="23"/>
      <c r="F118" s="23"/>
      <c r="G118" s="97"/>
      <c r="H118" s="97"/>
      <c r="I118" s="97"/>
      <c r="J118" s="97"/>
      <c r="K118" s="97"/>
      <c r="L118" s="97"/>
      <c r="M118" s="97"/>
      <c r="N118" s="97"/>
      <c r="O118" s="97"/>
      <c r="P118" s="97"/>
      <c r="Q118" s="97"/>
      <c r="R118" s="97"/>
      <c r="S118" s="97"/>
      <c r="T118" s="97"/>
      <c r="U118" s="97"/>
      <c r="V118" s="97"/>
      <c r="W118" s="97"/>
      <c r="X118" s="38"/>
    </row>
    <row r="119" spans="5:24" x14ac:dyDescent="0.2">
      <c r="G119" s="38"/>
      <c r="H119" s="38"/>
      <c r="I119" s="38"/>
      <c r="J119" s="38"/>
      <c r="K119" s="38"/>
      <c r="L119" s="38"/>
      <c r="M119" s="38"/>
      <c r="N119" s="38"/>
      <c r="O119" s="38"/>
      <c r="P119" s="38"/>
      <c r="Q119" s="38"/>
      <c r="R119" s="38"/>
      <c r="S119" s="38"/>
      <c r="T119" s="38"/>
      <c r="U119" s="38"/>
      <c r="V119" s="38"/>
      <c r="W119" s="38"/>
      <c r="X119" s="38"/>
    </row>
    <row r="120" spans="5:24" x14ac:dyDescent="0.2">
      <c r="E120" s="23"/>
      <c r="F120" s="23"/>
      <c r="G120" s="97"/>
      <c r="H120" s="97"/>
      <c r="I120" s="97"/>
      <c r="J120" s="97"/>
      <c r="K120" s="97"/>
      <c r="L120" s="97"/>
      <c r="M120" s="97"/>
      <c r="N120" s="97"/>
      <c r="O120" s="97"/>
      <c r="P120" s="97"/>
      <c r="Q120" s="97"/>
      <c r="R120" s="97"/>
      <c r="S120" s="97"/>
      <c r="T120" s="97"/>
      <c r="U120" s="97"/>
      <c r="V120" s="97"/>
      <c r="W120" s="97"/>
      <c r="X120" s="97"/>
    </row>
    <row r="121" spans="5:24" x14ac:dyDescent="0.2">
      <c r="E121" s="23"/>
      <c r="F121" s="23"/>
      <c r="G121" s="97"/>
      <c r="H121" s="97"/>
      <c r="I121" s="97"/>
      <c r="J121" s="97"/>
      <c r="K121" s="97"/>
      <c r="L121" s="97"/>
      <c r="M121" s="97"/>
      <c r="N121" s="97"/>
      <c r="O121" s="97"/>
      <c r="P121" s="97"/>
      <c r="Q121" s="97"/>
      <c r="R121" s="97"/>
      <c r="S121" s="97"/>
      <c r="T121" s="97"/>
      <c r="U121" s="97"/>
      <c r="V121" s="97"/>
      <c r="W121" s="97"/>
      <c r="X121" s="97"/>
    </row>
    <row r="122" spans="5:24" x14ac:dyDescent="0.2">
      <c r="G122" s="97"/>
      <c r="H122" s="97"/>
      <c r="I122" s="97"/>
      <c r="J122" s="97"/>
      <c r="K122" s="97"/>
      <c r="L122" s="97"/>
      <c r="M122" s="97"/>
      <c r="N122" s="97"/>
      <c r="O122" s="97"/>
      <c r="P122" s="97"/>
      <c r="Q122" s="97"/>
      <c r="R122" s="97"/>
      <c r="S122" s="97"/>
      <c r="T122" s="97"/>
      <c r="U122" s="97"/>
      <c r="V122" s="97"/>
      <c r="W122" s="97"/>
      <c r="X122" s="97"/>
    </row>
    <row r="123" spans="5:24" x14ac:dyDescent="0.2">
      <c r="E123" s="23"/>
      <c r="F123" s="23"/>
      <c r="G123" s="97"/>
      <c r="H123" s="97"/>
      <c r="I123" s="97"/>
      <c r="J123" s="97"/>
      <c r="K123" s="97"/>
      <c r="L123" s="97"/>
      <c r="M123" s="97"/>
      <c r="N123" s="97"/>
      <c r="O123" s="97"/>
      <c r="P123" s="97"/>
      <c r="Q123" s="97"/>
      <c r="R123" s="97"/>
      <c r="S123" s="97"/>
      <c r="T123" s="97"/>
      <c r="U123" s="97"/>
      <c r="V123" s="97"/>
      <c r="W123" s="97"/>
      <c r="X123" s="97"/>
    </row>
    <row r="124" spans="5:24" x14ac:dyDescent="0.2">
      <c r="E124" s="23"/>
      <c r="F124" s="23"/>
      <c r="G124" s="97"/>
      <c r="H124" s="97"/>
      <c r="I124" s="97"/>
      <c r="J124" s="97"/>
      <c r="K124" s="97"/>
      <c r="L124" s="97"/>
      <c r="M124" s="97"/>
      <c r="N124" s="97"/>
      <c r="O124" s="97"/>
      <c r="P124" s="97"/>
      <c r="Q124" s="97"/>
      <c r="R124" s="97"/>
      <c r="S124" s="97"/>
      <c r="T124" s="97"/>
      <c r="U124" s="97"/>
      <c r="V124" s="97"/>
      <c r="W124" s="97"/>
      <c r="X124" s="97"/>
    </row>
    <row r="125" spans="5:24" x14ac:dyDescent="0.2">
      <c r="G125" s="97"/>
      <c r="H125" s="97"/>
      <c r="I125" s="97"/>
      <c r="J125" s="97"/>
      <c r="K125" s="97"/>
      <c r="L125" s="97"/>
      <c r="M125" s="97"/>
      <c r="N125" s="97"/>
      <c r="O125" s="97"/>
      <c r="P125" s="97"/>
      <c r="Q125" s="97"/>
      <c r="R125" s="97"/>
      <c r="S125" s="97"/>
      <c r="T125" s="97"/>
      <c r="U125" s="97"/>
      <c r="V125" s="97"/>
      <c r="W125" s="97"/>
      <c r="X125" s="97"/>
    </row>
    <row r="126" spans="5:24" x14ac:dyDescent="0.2">
      <c r="G126" s="97"/>
      <c r="H126" s="97"/>
      <c r="I126" s="97"/>
      <c r="J126" s="97"/>
      <c r="K126" s="97"/>
      <c r="L126" s="97"/>
      <c r="M126" s="97"/>
      <c r="N126" s="97"/>
      <c r="O126" s="97"/>
      <c r="P126" s="97"/>
      <c r="Q126" s="97"/>
      <c r="R126" s="97"/>
      <c r="S126" s="97"/>
      <c r="T126" s="97"/>
      <c r="U126" s="97"/>
      <c r="V126" s="97"/>
      <c r="W126" s="97"/>
      <c r="X126" s="97"/>
    </row>
  </sheetData>
  <conditionalFormatting sqref="G12:M12">
    <cfRule type="expression" dxfId="8" priority="4">
      <formula>AND(G10&gt;$C$5,G10&lt;=$C$6)</formula>
    </cfRule>
  </conditionalFormatting>
  <conditionalFormatting sqref="U10:W44 U46:W53 U55:W82 U84:W121">
    <cfRule type="expression" dxfId="7"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LT</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7"/>
      <c r="G11" s="339"/>
      <c r="H11" s="339"/>
      <c r="I11" s="339"/>
      <c r="J11" s="339"/>
      <c r="K11" s="339"/>
      <c r="L11" s="339"/>
      <c r="M11" s="339"/>
      <c r="N11" s="187"/>
      <c r="O11" s="187"/>
      <c r="P11" s="187"/>
      <c r="Q11" s="187"/>
      <c r="R11" s="187"/>
      <c r="S11" s="187"/>
      <c r="T11" s="187"/>
      <c r="U11" s="187"/>
      <c r="V11" s="187"/>
      <c r="W11" s="187"/>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-1.471627</v>
      </c>
      <c r="D12" s="2">
        <f>'Input data'!D13</f>
        <v>-0.89109400000000005</v>
      </c>
      <c r="E12" s="2">
        <f>'Input data'!E13</f>
        <v>0.7080978</v>
      </c>
      <c r="F12" s="2">
        <f>'Input data'!F13</f>
        <v>-0.36979909999999999</v>
      </c>
      <c r="G12" s="3">
        <f>IF(G10&lt;=$C$6,F12+'Criteria results'!$F$7,F12)</f>
        <v>-0.20979909999999996</v>
      </c>
      <c r="H12" s="3">
        <f>IF(H10&lt;=$C$6,G12+'Criteria results'!$F$7,G12)</f>
        <v>-4.979909999999993E-2</v>
      </c>
      <c r="I12" s="3">
        <f>IF(I10&lt;=$C$6,H12+'Criteria results'!$F$7,H12)</f>
        <v>0.1102009000000001</v>
      </c>
      <c r="J12" s="3">
        <f>IF(J10&lt;=$C$6,I12+'Criteria results'!$F$7,I12)</f>
        <v>0.27020090000000013</v>
      </c>
      <c r="K12" s="95">
        <f>IF(K10&lt;=$C$6,J12+'Criteria results'!$F$7,J12)</f>
        <v>0.27020090000000013</v>
      </c>
      <c r="L12" s="95">
        <f>IF(L10&lt;=$C$6,K12+'Criteria results'!$F$7,K12)</f>
        <v>0.27020090000000013</v>
      </c>
      <c r="M12" s="95">
        <f>IF(M10&lt;=$C$6,L12+'Criteria results'!$F$7,L12)</f>
        <v>0.27020090000000013</v>
      </c>
      <c r="N12" s="95">
        <f>M12</f>
        <v>0.27020090000000013</v>
      </c>
      <c r="O12" s="95">
        <f t="shared" ref="O12:W12" si="0">N12</f>
        <v>0.27020090000000013</v>
      </c>
      <c r="P12" s="95">
        <f t="shared" si="0"/>
        <v>0.27020090000000013</v>
      </c>
      <c r="Q12" s="95">
        <f t="shared" si="0"/>
        <v>0.27020090000000013</v>
      </c>
      <c r="R12" s="95">
        <f t="shared" si="0"/>
        <v>0.27020090000000013</v>
      </c>
      <c r="S12" s="95">
        <f t="shared" si="0"/>
        <v>0.27020090000000013</v>
      </c>
      <c r="T12" s="95">
        <f t="shared" si="0"/>
        <v>0.27020090000000013</v>
      </c>
      <c r="U12" s="95">
        <f t="shared" si="0"/>
        <v>0.27020090000000013</v>
      </c>
      <c r="V12" s="95">
        <f t="shared" si="0"/>
        <v>0.27020090000000013</v>
      </c>
      <c r="W12" s="95">
        <f t="shared" si="0"/>
        <v>0.27020090000000013</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4" t="s">
        <v>137</v>
      </c>
      <c r="C13" s="18"/>
      <c r="D13" s="18"/>
      <c r="E13" s="18"/>
      <c r="F13" s="187"/>
      <c r="G13" s="187">
        <f>G12-F12</f>
        <v>0.16000000000000003</v>
      </c>
      <c r="H13" s="187">
        <f t="shared" ref="H13:W13" si="1">H12-G12</f>
        <v>0.16000000000000003</v>
      </c>
      <c r="I13" s="187">
        <f t="shared" si="1"/>
        <v>0.16000000000000003</v>
      </c>
      <c r="J13" s="187">
        <f t="shared" si="1"/>
        <v>0.16000000000000003</v>
      </c>
      <c r="K13" s="187">
        <f t="shared" si="1"/>
        <v>0</v>
      </c>
      <c r="L13" s="187">
        <f t="shared" si="1"/>
        <v>0</v>
      </c>
      <c r="M13" s="187">
        <f t="shared" si="1"/>
        <v>0</v>
      </c>
      <c r="N13" s="187">
        <f t="shared" si="1"/>
        <v>0</v>
      </c>
      <c r="O13" s="187">
        <f t="shared" si="1"/>
        <v>0</v>
      </c>
      <c r="P13" s="187">
        <f t="shared" si="1"/>
        <v>0</v>
      </c>
      <c r="Q13" s="187">
        <f t="shared" si="1"/>
        <v>0</v>
      </c>
      <c r="R13" s="187">
        <f t="shared" si="1"/>
        <v>0</v>
      </c>
      <c r="S13" s="187">
        <f t="shared" si="1"/>
        <v>0</v>
      </c>
      <c r="T13" s="187">
        <f t="shared" si="1"/>
        <v>0</v>
      </c>
      <c r="U13" s="187">
        <f t="shared" si="1"/>
        <v>0</v>
      </c>
      <c r="V13" s="187">
        <f t="shared" si="1"/>
        <v>0</v>
      </c>
      <c r="W13" s="187">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9.8800999999999993E-3</v>
      </c>
      <c r="D14" s="2">
        <f>'Input data'!D14</f>
        <v>0.1602539</v>
      </c>
      <c r="E14" s="2">
        <f>'Input data'!E14</f>
        <v>3.2523000000000001E-3</v>
      </c>
      <c r="F14" s="2">
        <f>'Input data'!F14</f>
        <v>2.5601999999999999E-3</v>
      </c>
      <c r="G14" s="2">
        <f>'Input data'!G14</f>
        <v>1.5619E-3</v>
      </c>
      <c r="H14" s="2">
        <f>'Input data'!H14</f>
        <v>3.3098299999999997E-2</v>
      </c>
      <c r="I14" s="2">
        <f>'Input data'!I14</f>
        <v>0</v>
      </c>
      <c r="J14" s="2">
        <f>'Input data'!J14</f>
        <v>0</v>
      </c>
      <c r="K14" s="2">
        <f>'Input data'!K14</f>
        <v>0</v>
      </c>
      <c r="L14" s="2">
        <f>'Input data'!L14</f>
        <v>0</v>
      </c>
      <c r="M14" s="2">
        <f>'Input data'!M14</f>
        <v>0</v>
      </c>
      <c r="N14" s="2">
        <f>'Input data'!N14</f>
        <v>0</v>
      </c>
      <c r="O14" s="2">
        <f>'Input data'!O14</f>
        <v>0</v>
      </c>
      <c r="P14" s="2">
        <f>'Input data'!P14</f>
        <v>0</v>
      </c>
      <c r="Q14" s="2">
        <f>'Input data'!Q14</f>
        <v>0</v>
      </c>
      <c r="R14" s="2">
        <f>'Input data'!R14</f>
        <v>0</v>
      </c>
      <c r="S14" s="2">
        <f>'Input data'!S14</f>
        <v>0</v>
      </c>
      <c r="T14" s="2">
        <f>'Input data'!T14</f>
        <v>0</v>
      </c>
      <c r="U14" s="2">
        <f>'Input data'!U14</f>
        <v>0</v>
      </c>
      <c r="V14" s="2">
        <f>'Input data'!V14</f>
        <v>0</v>
      </c>
      <c r="W14" s="2">
        <f>'Input data'!W14</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56</v>
      </c>
      <c r="C15" s="1">
        <f>'Input data'!C15</f>
        <v>1.4649000000000001</v>
      </c>
      <c r="D15" s="2">
        <f>'Input data'!D15</f>
        <v>0.97889720000000002</v>
      </c>
      <c r="E15" s="2">
        <f>'Input data'!E15</f>
        <v>1.865075</v>
      </c>
      <c r="F15" s="2">
        <f>'Input data'!F15</f>
        <v>0.94640000000000002</v>
      </c>
      <c r="G15" s="2">
        <f>'Input data'!G15</f>
        <v>2.7175029999999998</v>
      </c>
      <c r="H15" s="2">
        <f>'Input data'!H15</f>
        <v>3.073</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8">
        <f>'Input data'!D20</f>
        <v>14.76225</v>
      </c>
      <c r="E18" s="78">
        <f>'Input data'!E20</f>
        <v>15.0023</v>
      </c>
      <c r="F18" s="78">
        <f>'Input data'!F20</f>
        <v>15.355459999999999</v>
      </c>
      <c r="G18" s="78">
        <f>'Input data'!G20</f>
        <v>15.69932</v>
      </c>
      <c r="H18" s="78">
        <f>'Input data'!H20</f>
        <v>15.968810000000001</v>
      </c>
      <c r="I18" s="78">
        <f>'Input data'!I20</f>
        <v>16.088950000000001</v>
      </c>
      <c r="J18" s="78">
        <f>'Input data'!J20</f>
        <v>16.263380000000002</v>
      </c>
      <c r="K18" s="78">
        <f>'Input data'!K20</f>
        <v>16.436700000000002</v>
      </c>
      <c r="L18" s="78">
        <f>'Input data'!L20</f>
        <v>16.614419999999999</v>
      </c>
      <c r="M18" s="78">
        <f>'Input data'!M20</f>
        <v>16.799599999999998</v>
      </c>
      <c r="N18" s="78">
        <f>'Input data'!N20</f>
        <v>16.989449999999998</v>
      </c>
      <c r="O18" s="78">
        <f>'Input data'!O20</f>
        <v>17.176099999999998</v>
      </c>
      <c r="P18" s="78">
        <f>'Input data'!P20</f>
        <v>17.335729999999998</v>
      </c>
      <c r="Q18" s="78">
        <f>'Input data'!Q20</f>
        <v>17.498619999999999</v>
      </c>
      <c r="R18" s="78">
        <f>'Input data'!R20</f>
        <v>17.639989999999997</v>
      </c>
      <c r="S18" s="78">
        <f>'Input data'!S20</f>
        <v>17.741549999999997</v>
      </c>
      <c r="T18" s="78">
        <f>'Input data'!T20</f>
        <v>17.8386</v>
      </c>
      <c r="U18" s="78">
        <f>'Input data'!U20</f>
        <v>17.935040000000001</v>
      </c>
      <c r="V18" s="78">
        <f>'Input data'!V20</f>
        <v>18.015550000000001</v>
      </c>
      <c r="W18" s="78">
        <f>'Input data'!W20</f>
        <v>18.110669999999999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0.36009390000000002</v>
      </c>
      <c r="D19" s="78">
        <f>'Input data'!D26</f>
        <v>0.39655800000000002</v>
      </c>
      <c r="E19" s="78">
        <f>'Input data'!E26</f>
        <v>0.71944660000000005</v>
      </c>
      <c r="F19" s="78">
        <f>'Input data'!F26</f>
        <v>0.71352550000000003</v>
      </c>
      <c r="G19" s="78">
        <f>'Input data'!G26</f>
        <v>0.70760429999999996</v>
      </c>
      <c r="H19" s="78">
        <f>'Input data'!H26</f>
        <v>0.70168319999999995</v>
      </c>
      <c r="I19" s="78">
        <f>'Input data'!I26</f>
        <v>0.69576210000000005</v>
      </c>
      <c r="J19" s="78">
        <f>'Input data'!J26</f>
        <v>0.68984100000000004</v>
      </c>
      <c r="K19" s="78">
        <f>'Input data'!K26</f>
        <v>0.68391979999999997</v>
      </c>
      <c r="L19" s="78">
        <f>'Input data'!L26</f>
        <v>0.67799869999999995</v>
      </c>
      <c r="M19" s="78">
        <f>'Input data'!M26</f>
        <v>0.67207760000000005</v>
      </c>
      <c r="N19" s="78">
        <f>'Input data'!N26</f>
        <v>0.66615650000000004</v>
      </c>
      <c r="O19" s="78">
        <f>'Input data'!O26</f>
        <v>0.66023529999999997</v>
      </c>
      <c r="P19" s="78">
        <f>'Input data'!P26</f>
        <v>0.65431419999999996</v>
      </c>
      <c r="Q19" s="78">
        <f>'Input data'!Q26</f>
        <v>0.64839310000000006</v>
      </c>
      <c r="R19" s="78">
        <f>'Input data'!R26</f>
        <v>0.64247200000000004</v>
      </c>
      <c r="S19" s="78">
        <f>'Input data'!S26</f>
        <v>0.63655079999999997</v>
      </c>
      <c r="T19" s="78">
        <f>'Input data'!T26</f>
        <v>0.63062969999999996</v>
      </c>
      <c r="U19" s="78">
        <f>'Input data'!U26</f>
        <v>0.62470870000000001</v>
      </c>
      <c r="V19" s="78">
        <f>'Input data'!V26</f>
        <v>0.61878750000000005</v>
      </c>
      <c r="W19" s="78">
        <f>'Input data'!W26</f>
        <v>0.61286640000000003</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57</v>
      </c>
    </row>
    <row r="22" spans="1:50" ht="10.5" customHeight="1" x14ac:dyDescent="0.2">
      <c r="B22" s="19" t="s">
        <v>58</v>
      </c>
    </row>
    <row r="23" spans="1:50" x14ac:dyDescent="0.2">
      <c r="B23" s="15" t="s">
        <v>39</v>
      </c>
      <c r="C23" s="23">
        <f>'Input data'!C31</f>
        <v>42.795000000000002</v>
      </c>
      <c r="D23" s="77">
        <f>'Baseline NFPC'!D22</f>
        <v>43.880933823749999</v>
      </c>
      <c r="E23" s="77">
        <f>'Baseline NFPC'!E22</f>
        <v>44.031126105210021</v>
      </c>
      <c r="F23" s="77">
        <f>'Baseline NFPC'!F22</f>
        <v>44.985617005713365</v>
      </c>
      <c r="G23" s="23">
        <f>IF(AND(G50&gt;1,F50&gt;1),
G27*(1+('Baseline NFPC'!G$29+G51)/100)-F23*$C$47*(G12-F12)/100,
IF(G50=1,G27,F23*(1+G52/100)))</f>
        <v>46.145356558812573</v>
      </c>
      <c r="H23" s="23">
        <f>IF(AND(H50&gt;1,G50&gt;1),
H27*(1+('Baseline NFPC'!H$29+H51)/100)-G23*$C$47*(H12-G12)/100,
IF(H50=1,H27,G23*(1+H52/100)))</f>
        <v>47.405029737462655</v>
      </c>
      <c r="I23" s="23">
        <f>IF(AND(I50&gt;1,H50&gt;1),
I27*(1+I51/100)-H23*$C$47*(I12-H12)/100,
IF(I50=1,I27,H23*(1+I52/100)))</f>
        <v>48.615578276480974</v>
      </c>
      <c r="J23" s="23">
        <f t="shared" ref="J23:W23" si="2">IF(AND(J50&gt;1,I50&gt;1),
J27*(1+J51/100)-I23*$C$47*(J12-I12)/100,
IF(J50=1,J27,I23*(1+J52/100)))</f>
        <v>49.624288148935428</v>
      </c>
      <c r="K23" s="23">
        <f t="shared" si="2"/>
        <v>50.664044121392443</v>
      </c>
      <c r="L23" s="23">
        <f t="shared" si="2"/>
        <v>51.668997757580961</v>
      </c>
      <c r="M23" s="23">
        <f t="shared" si="2"/>
        <v>52.665207756045575</v>
      </c>
      <c r="N23" s="23">
        <f t="shared" si="2"/>
        <v>53.494339821092488</v>
      </c>
      <c r="O23" s="23">
        <f t="shared" si="2"/>
        <v>54.334687219832617</v>
      </c>
      <c r="P23" s="23">
        <f t="shared" si="2"/>
        <v>55.21569157228987</v>
      </c>
      <c r="Q23" s="23">
        <f t="shared" si="2"/>
        <v>56.079583030863937</v>
      </c>
      <c r="R23" s="23">
        <f t="shared" si="2"/>
        <v>56.925102755361898</v>
      </c>
      <c r="S23" s="23">
        <f t="shared" si="2"/>
        <v>57.751000039437045</v>
      </c>
      <c r="T23" s="23">
        <f t="shared" si="2"/>
        <v>58.542885217037806</v>
      </c>
      <c r="U23" s="23">
        <f t="shared" si="2"/>
        <v>59.291073242402042</v>
      </c>
      <c r="V23" s="23">
        <f t="shared" si="2"/>
        <v>59.983219444111874</v>
      </c>
      <c r="W23" s="23">
        <f t="shared" si="2"/>
        <v>60.640621733078866</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6.3800220000000003</v>
      </c>
      <c r="D24" s="77">
        <f>'Baseline NFPC'!D23</f>
        <v>2.537525</v>
      </c>
      <c r="E24" s="77">
        <f>'Baseline NFPC'!E23</f>
        <v>0.34227229999999997</v>
      </c>
      <c r="F24" s="77">
        <f>'Baseline NFPC'!F23</f>
        <v>2.167764</v>
      </c>
      <c r="G24" s="23">
        <f t="shared" ref="G24:S24" si="3">100*(G23/F23-1)</f>
        <v>2.5780230000000071</v>
      </c>
      <c r="H24" s="23">
        <f t="shared" si="3"/>
        <v>2.7297940087311234</v>
      </c>
      <c r="I24" s="23">
        <f t="shared" si="3"/>
        <v>2.5536288991327538</v>
      </c>
      <c r="J24" s="23">
        <f t="shared" si="3"/>
        <v>2.0748696368843689</v>
      </c>
      <c r="K24" s="23">
        <f t="shared" si="3"/>
        <v>2.0952561965955852</v>
      </c>
      <c r="L24" s="23">
        <f t="shared" si="3"/>
        <v>1.9835637948297569</v>
      </c>
      <c r="M24" s="23">
        <f t="shared" si="3"/>
        <v>1.9280613940657387</v>
      </c>
      <c r="N24" s="23">
        <f t="shared" si="3"/>
        <v>1.5743449999999992</v>
      </c>
      <c r="O24" s="23">
        <f t="shared" si="3"/>
        <v>1.5709090000000092</v>
      </c>
      <c r="P24" s="23">
        <f t="shared" si="3"/>
        <v>1.6214399999999962</v>
      </c>
      <c r="Q24" s="23">
        <f t="shared" si="3"/>
        <v>1.5645759999999953</v>
      </c>
      <c r="R24" s="23">
        <f t="shared" si="3"/>
        <v>1.5077140000000044</v>
      </c>
      <c r="S24" s="23">
        <f t="shared" si="3"/>
        <v>1.4508490000000096</v>
      </c>
      <c r="T24" s="23">
        <f>100*(T23/S23-1)</f>
        <v>1.3712060000000026</v>
      </c>
      <c r="U24" s="23">
        <f t="shared" ref="U24:W24" si="4">100*(U23/T23-1)</f>
        <v>1.2780170000000091</v>
      </c>
      <c r="V24" s="23">
        <f t="shared" si="4"/>
        <v>1.1673700000000009</v>
      </c>
      <c r="W24" s="23">
        <f t="shared" si="4"/>
        <v>1.0959769999999924</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8"/>
      <c r="B26" s="19" t="s">
        <v>59</v>
      </c>
      <c r="C26" s="157"/>
      <c r="D26" s="157"/>
      <c r="E26" s="157"/>
      <c r="F26" s="157"/>
    </row>
    <row r="27" spans="1:50" x14ac:dyDescent="0.2">
      <c r="B27" s="15" t="s">
        <v>39</v>
      </c>
      <c r="C27" s="23">
        <f>'Input data'!C34</f>
        <v>41.97242</v>
      </c>
      <c r="D27" s="77">
        <f>+C27*(1+'Input data'!D33/100)</f>
        <v>43.490069675189204</v>
      </c>
      <c r="E27" s="77">
        <f>+D27*(1+'Input data'!E33/100)</f>
        <v>44.943668282091132</v>
      </c>
      <c r="F27" s="77">
        <f>+E27*(1+'Input data'!F33/100)</f>
        <v>46.006950979549032</v>
      </c>
      <c r="G27" s="23">
        <f>+F27*(1+'Input data'!G33/100)</f>
        <v>47.158050873960974</v>
      </c>
      <c r="H27" s="23">
        <f>+G27*(1+'Input data'!H33/100)</f>
        <v>48.159376631388142</v>
      </c>
      <c r="I27" s="23">
        <f>+H27*(1+'Input data'!I33/100)</f>
        <v>49.186083492230111</v>
      </c>
      <c r="J27" s="23">
        <f>+I27*(1+'Input data'!J33/100)</f>
        <v>50.069797065953303</v>
      </c>
      <c r="K27" s="23">
        <f>+J27*(1+'Input data'!K33/100)</f>
        <v>50.966368382229</v>
      </c>
      <c r="L27" s="23">
        <f>+K27*(1+'Input data'!L33/100)</f>
        <v>51.822699697486691</v>
      </c>
      <c r="M27" s="23">
        <f>+L27*(1+'Input data'!M33/100)</f>
        <v>52.665207756045575</v>
      </c>
      <c r="N27" s="23">
        <f>+M27*(1+'Input data'!N33/100)</f>
        <v>53.494339294440415</v>
      </c>
      <c r="O27" s="23">
        <f>+N27*(1+'Input data'!O33/100)</f>
        <v>54.334685080077143</v>
      </c>
      <c r="P27" s="23">
        <f>+O27*(1+'Input data'!P33/100)</f>
        <v>55.21568994118639</v>
      </c>
      <c r="Q27" s="23">
        <f>+P27*(1+'Input data'!Q33/100)</f>
        <v>56.079581926397502</v>
      </c>
      <c r="R27" s="23">
        <f>+Q27*(1+'Input data'!R33/100)</f>
        <v>56.925101634243269</v>
      </c>
      <c r="S27" s="23">
        <f>+R27*(1+'Input data'!S33/100)</f>
        <v>57.750999471303693</v>
      </c>
      <c r="T27" s="23">
        <f>+S27*(1+'Input data'!T33/100)</f>
        <v>58.542883486094183</v>
      </c>
      <c r="U27" s="23">
        <f>+T27*(1+'Input data'!U33/100)</f>
        <v>59.29107324562316</v>
      </c>
      <c r="V27" s="23">
        <f>+U27*(1+'Input data'!V33/100)</f>
        <v>59.983219447370594</v>
      </c>
      <c r="W27" s="23">
        <f>+V27*(1+'Input data'!W33/100)</f>
        <v>60.640621736373298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60</v>
      </c>
      <c r="C30" s="23">
        <f>100*(C23/C27-1)</f>
        <v>1.9598107519175789</v>
      </c>
      <c r="D30" s="77">
        <f t="shared" ref="D30:W30" si="5">100*(D23/D27-1)</f>
        <v>0.89874344069809098</v>
      </c>
      <c r="E30" s="77">
        <f t="shared" si="5"/>
        <v>-2.030413207826065</v>
      </c>
      <c r="F30" s="77">
        <f t="shared" si="5"/>
        <v>-2.2199557938313963</v>
      </c>
      <c r="G30" s="23">
        <f t="shared" si="5"/>
        <v>-2.1474473528497295</v>
      </c>
      <c r="H30" s="23">
        <f t="shared" si="5"/>
        <v>-1.5663551870682579</v>
      </c>
      <c r="I30" s="23">
        <f t="shared" si="5"/>
        <v>-1.1598915287476808</v>
      </c>
      <c r="J30" s="23">
        <f t="shared" si="5"/>
        <v>-0.88977575928865793</v>
      </c>
      <c r="K30" s="23">
        <f t="shared" si="5"/>
        <v>-0.59318383952577936</v>
      </c>
      <c r="L30" s="23">
        <f t="shared" si="5"/>
        <v>-0.29659191976287858</v>
      </c>
      <c r="M30" s="23">
        <f>100*(M23/M27-1)</f>
        <v>0</v>
      </c>
      <c r="N30" s="23">
        <f t="shared" si="5"/>
        <v>9.8450056995602608E-7</v>
      </c>
      <c r="O30" s="23">
        <f t="shared" si="5"/>
        <v>3.9381022887141626E-6</v>
      </c>
      <c r="P30" s="23">
        <f t="shared" si="5"/>
        <v>2.9540579538078759E-6</v>
      </c>
      <c r="Q30" s="23">
        <f t="shared" si="5"/>
        <v>1.9694626818278493E-6</v>
      </c>
      <c r="R30" s="23">
        <f t="shared" si="5"/>
        <v>1.9694626818278493E-6</v>
      </c>
      <c r="S30" s="23">
        <f t="shared" si="5"/>
        <v>9.8376367052566138E-7</v>
      </c>
      <c r="T30" s="23">
        <f t="shared" si="5"/>
        <v>2.9567105652716918E-6</v>
      </c>
      <c r="U30" s="23">
        <f t="shared" si="5"/>
        <v>-5.432720939779756E-9</v>
      </c>
      <c r="V30" s="23">
        <f t="shared" si="5"/>
        <v>-5.432720939779756E-9</v>
      </c>
      <c r="W30" s="23">
        <f t="shared" si="5"/>
        <v>-5.4327098375495098E-9</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61</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6">100*((1+C24/100)*(1+C42/100)-1)</f>
        <v>12.762560561345659</v>
      </c>
      <c r="D33" s="2">
        <f t="shared" si="6"/>
        <v>19.011767722887484</v>
      </c>
      <c r="E33" s="2">
        <f t="shared" si="6"/>
        <v>9.3949002478024966</v>
      </c>
      <c r="F33" s="2">
        <f>100*((1+F24/100)*(1+F42/100)-1)</f>
        <v>5.8608732491900017</v>
      </c>
      <c r="G33" s="1">
        <f>100*((1+G24/100)*(1+G42/100)-1)</f>
        <v>6.1403392476010232</v>
      </c>
      <c r="H33" s="1">
        <f t="shared" si="6"/>
        <v>4.9926468092140519</v>
      </c>
      <c r="I33" s="1">
        <f t="shared" si="6"/>
        <v>4.8314810087328297</v>
      </c>
      <c r="J33" s="1">
        <f t="shared" si="6"/>
        <v>4.3608794690348285</v>
      </c>
      <c r="K33" s="1">
        <f t="shared" si="6"/>
        <v>4.4005179481726664</v>
      </c>
      <c r="L33" s="1">
        <f t="shared" si="6"/>
        <v>4.3050783773831869</v>
      </c>
      <c r="M33" s="1">
        <f t="shared" si="6"/>
        <v>4.2670771152090392</v>
      </c>
      <c r="N33" s="1">
        <f t="shared" si="6"/>
        <v>3.9239431954785964</v>
      </c>
      <c r="O33" s="1">
        <f t="shared" si="6"/>
        <v>3.9391265380440021</v>
      </c>
      <c r="P33" s="1">
        <f t="shared" si="6"/>
        <v>4.0095438400000072</v>
      </c>
      <c r="Q33" s="1">
        <f t="shared" si="6"/>
        <v>3.9335697352000043</v>
      </c>
      <c r="R33" s="1">
        <f t="shared" si="6"/>
        <v>3.8576175791000145</v>
      </c>
      <c r="S33" s="1">
        <f t="shared" si="6"/>
        <v>3.7816822557749985</v>
      </c>
      <c r="T33" s="1">
        <f t="shared" si="6"/>
        <v>3.6824694968000005</v>
      </c>
      <c r="U33" s="1">
        <f>100*((1+U24/100)*(1+U42/100)-1)</f>
        <v>3.5694321346249946</v>
      </c>
      <c r="V33" s="1">
        <f t="shared" si="6"/>
        <v>3.4385774565000027</v>
      </c>
      <c r="W33" s="1">
        <f t="shared" si="6"/>
        <v>3.3478898876750041</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110</v>
      </c>
    </row>
    <row r="36" spans="2:51" x14ac:dyDescent="0.2">
      <c r="B36" s="15" t="s">
        <v>41</v>
      </c>
      <c r="C36" s="23">
        <f>'Input data'!C37</f>
        <v>1.1161000000000001</v>
      </c>
      <c r="D36" s="77">
        <f>'Input data'!D37</f>
        <v>0.91907830000000001</v>
      </c>
      <c r="E36" s="77">
        <f>'Input data'!E37</f>
        <v>1.699492</v>
      </c>
      <c r="F36" s="77">
        <f>'Input data'!F37</f>
        <v>2.2164999999999999</v>
      </c>
      <c r="G36" s="77">
        <f>'Input data'!G37</f>
        <v>2.5547230000000001</v>
      </c>
      <c r="H36" s="23">
        <f t="shared" ref="H36:W36" si="7">H101</f>
        <v>2.8932796137143195</v>
      </c>
      <c r="I36" s="23">
        <f t="shared" si="7"/>
        <v>2.9559423549637596</v>
      </c>
      <c r="J36" s="23">
        <f t="shared" si="7"/>
        <v>3.0016280918303835</v>
      </c>
      <c r="K36" s="23">
        <f t="shared" si="7"/>
        <v>3.0514426520075948</v>
      </c>
      <c r="L36" s="23">
        <f t="shared" si="7"/>
        <v>3.1072545889112537</v>
      </c>
      <c r="M36" s="23">
        <f t="shared" si="7"/>
        <v>3.1684217186908108</v>
      </c>
      <c r="N36" s="23">
        <f t="shared" si="7"/>
        <v>3.234421180918706</v>
      </c>
      <c r="O36" s="23">
        <f t="shared" si="7"/>
        <v>3.3061296137632215</v>
      </c>
      <c r="P36" s="23">
        <f t="shared" si="7"/>
        <v>3.3829308710229453</v>
      </c>
      <c r="Q36" s="23">
        <f t="shared" si="7"/>
        <v>3.451469358609959</v>
      </c>
      <c r="R36" s="23">
        <f t="shared" si="7"/>
        <v>3.513205650318751</v>
      </c>
      <c r="S36" s="23">
        <f t="shared" si="7"/>
        <v>3.5683555819210486</v>
      </c>
      <c r="T36" s="23">
        <f t="shared" si="7"/>
        <v>3.6171754148881576</v>
      </c>
      <c r="U36" s="23">
        <f t="shared" si="7"/>
        <v>3.6602897389267355</v>
      </c>
      <c r="V36" s="23">
        <f t="shared" si="7"/>
        <v>3.6983245134953737</v>
      </c>
      <c r="W36" s="23">
        <f t="shared" si="7"/>
        <v>3.7318057188341536</v>
      </c>
    </row>
    <row r="37" spans="2:51" x14ac:dyDescent="0.2">
      <c r="B37" s="21" t="s">
        <v>63</v>
      </c>
      <c r="C37" s="1"/>
      <c r="D37" s="2">
        <f>'Input data'!D$39</f>
        <v>0.61</v>
      </c>
      <c r="E37" s="2">
        <f>'Input data'!E$39</f>
        <v>2.88</v>
      </c>
      <c r="F37" s="137">
        <f>'Input data'!F$39</f>
        <v>3.4270849999999999</v>
      </c>
      <c r="G37" s="137">
        <f>'Input data'!G$39</f>
        <v>3.0076990000000001</v>
      </c>
      <c r="H37" s="137">
        <f>'Input data'!H$39</f>
        <v>3.1136879999999998</v>
      </c>
      <c r="I37" s="1">
        <f>'Baseline NFPC'!I36</f>
        <v>3.2113594999999999</v>
      </c>
      <c r="J37" s="1">
        <f>'Baseline NFPC'!J36</f>
        <v>3.3090310000000001</v>
      </c>
      <c r="K37" s="1">
        <f>'Baseline NFPC'!K36</f>
        <v>3.4067025000000002</v>
      </c>
      <c r="L37" s="1">
        <f>'Baseline NFPC'!L36</f>
        <v>3.5043740000000003</v>
      </c>
      <c r="M37" s="1">
        <f>'Baseline NFPC'!M36</f>
        <v>3.6020455000000005</v>
      </c>
      <c r="N37" s="1">
        <f>'Baseline NFPC'!N36</f>
        <v>3.6997170000000006</v>
      </c>
      <c r="O37" s="1">
        <f>'Baseline NFPC'!O36</f>
        <v>3.7973885000000007</v>
      </c>
      <c r="P37" s="178">
        <f>'Baseline NFPC'!P36</f>
        <v>3.89506</v>
      </c>
      <c r="Q37" s="1">
        <f>'Baseline NFPC'!Q36</f>
        <v>3.9003069999999997</v>
      </c>
      <c r="R37" s="1">
        <f>'Baseline NFPC'!R36</f>
        <v>3.905554</v>
      </c>
      <c r="S37" s="1">
        <f>'Baseline NFPC'!S36</f>
        <v>3.9108010000000002</v>
      </c>
      <c r="T37" s="1">
        <f>'Baseline NFPC'!T36</f>
        <v>3.916048</v>
      </c>
      <c r="U37" s="1">
        <f>'Baseline NFPC'!U36</f>
        <v>3.9212949999999998</v>
      </c>
      <c r="V37" s="1">
        <f>'Baseline NFPC'!V36</f>
        <v>3.926542</v>
      </c>
      <c r="W37" s="1">
        <f>'Baseline NFPC'!W36</f>
        <v>3.9317890000000002</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64</v>
      </c>
      <c r="C38" s="1"/>
      <c r="D38" s="2">
        <f>'Input data'!D$38</f>
        <v>0.35</v>
      </c>
      <c r="E38" s="2">
        <f>'Input data'!E$38</f>
        <v>3.43</v>
      </c>
      <c r="F38" s="137">
        <f>'Input data'!F$38</f>
        <v>3.5292500000000002</v>
      </c>
      <c r="G38" s="137">
        <f>'Input data'!G$38</f>
        <v>2.0662500000000001</v>
      </c>
      <c r="H38" s="137">
        <f>'Input data'!H$38</f>
        <v>1.9957499999999999</v>
      </c>
      <c r="I38" s="1">
        <f>'Baseline NFPC'!I37</f>
        <v>2.079285</v>
      </c>
      <c r="J38" s="1">
        <f>'Baseline NFPC'!J37</f>
        <v>2.16282</v>
      </c>
      <c r="K38" s="1">
        <f>'Baseline NFPC'!K37</f>
        <v>2.2463549999999999</v>
      </c>
      <c r="L38" s="1">
        <f>'Baseline NFPC'!L37</f>
        <v>2.3298899999999998</v>
      </c>
      <c r="M38" s="1">
        <f>'Baseline NFPC'!M37</f>
        <v>2.4134249999999997</v>
      </c>
      <c r="N38" s="1">
        <f>'Baseline NFPC'!N37</f>
        <v>2.4969599999999996</v>
      </c>
      <c r="O38" s="1">
        <f>'Baseline NFPC'!O37</f>
        <v>2.5804949999999995</v>
      </c>
      <c r="P38" s="178">
        <f>'Baseline NFPC'!P37</f>
        <v>2.6640299999999999</v>
      </c>
      <c r="Q38" s="1">
        <f>'Baseline NFPC'!Q37</f>
        <v>2.6308284999999998</v>
      </c>
      <c r="R38" s="1">
        <f>'Baseline NFPC'!R37</f>
        <v>2.5976270000000001</v>
      </c>
      <c r="S38" s="1">
        <f>'Baseline NFPC'!S37</f>
        <v>2.5644255</v>
      </c>
      <c r="T38" s="1">
        <f>'Baseline NFPC'!T37</f>
        <v>2.5312239999999999</v>
      </c>
      <c r="U38" s="1">
        <f>'Baseline NFPC'!U37</f>
        <v>2.4980224999999998</v>
      </c>
      <c r="V38" s="1">
        <f>'Baseline NFPC'!V37</f>
        <v>2.4648209999999997</v>
      </c>
      <c r="W38" s="1">
        <f>'Baseline NFPC'!W37</f>
        <v>2.4316195</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65</v>
      </c>
      <c r="C39" s="23">
        <f>'Baseline NFPC'!C38</f>
        <v>8.3575490000000002E-2</v>
      </c>
      <c r="D39" s="23">
        <f>'Baseline NFPC'!D38</f>
        <v>9.4541159999999999E-2</v>
      </c>
      <c r="E39" s="23">
        <f>'Baseline NFPC'!E38</f>
        <v>6.7232780000000006E-2</v>
      </c>
      <c r="F39" s="23">
        <f>'Baseline NFPC'!F38</f>
        <v>0.10127042</v>
      </c>
      <c r="G39" s="23">
        <f>'Baseline NFPC'!G38</f>
        <v>9.9750014999999997E-2</v>
      </c>
      <c r="H39" s="23">
        <f>'Baseline NFPC'!H38</f>
        <v>9.8229609999999995E-2</v>
      </c>
      <c r="I39" s="23">
        <f>'Baseline NFPC'!I38</f>
        <v>9.6709205000000006E-2</v>
      </c>
      <c r="J39" s="23">
        <f>'Baseline NFPC'!J38</f>
        <v>9.5188800000000004E-2</v>
      </c>
      <c r="K39" s="23">
        <f>'Baseline NFPC'!K38</f>
        <v>9.3668395000000002E-2</v>
      </c>
      <c r="L39" s="23">
        <f>'Baseline NFPC'!L38</f>
        <v>9.2147989999999999E-2</v>
      </c>
      <c r="M39" s="23">
        <f>'Baseline NFPC'!M38</f>
        <v>9.0627584999999997E-2</v>
      </c>
      <c r="N39" s="23">
        <f>'Baseline NFPC'!N38</f>
        <v>8.9107180000000008E-2</v>
      </c>
      <c r="O39" s="23">
        <f>'Baseline NFPC'!O38</f>
        <v>8.7586775000000006E-2</v>
      </c>
      <c r="P39" s="23">
        <f>'Baseline NFPC'!P38</f>
        <v>8.6066370000000003E-2</v>
      </c>
      <c r="Q39" s="23">
        <f>'Baseline NFPC'!Q38</f>
        <v>8.6066370000000003E-2</v>
      </c>
      <c r="R39" s="23">
        <f>'Baseline NFPC'!R38</f>
        <v>8.6066370000000003E-2</v>
      </c>
      <c r="S39" s="23">
        <f>'Baseline NFPC'!S38</f>
        <v>8.6066370000000003E-2</v>
      </c>
      <c r="T39" s="23">
        <f>'Baseline NFPC'!T38</f>
        <v>8.6066370000000003E-2</v>
      </c>
      <c r="U39" s="23">
        <f>'Baseline NFPC'!U38</f>
        <v>8.6066370000000003E-2</v>
      </c>
      <c r="V39" s="23">
        <f>'Baseline NFPC'!V38</f>
        <v>8.6066370000000003E-2</v>
      </c>
      <c r="W39" s="23">
        <f>'Baseline NFPC'!W38</f>
        <v>8.6066370000000003E-2</v>
      </c>
    </row>
    <row r="40" spans="2:51" x14ac:dyDescent="0.2">
      <c r="C40" s="1"/>
      <c r="D40" s="1"/>
      <c r="E40" s="81"/>
      <c r="F40" s="81"/>
      <c r="G40" s="81"/>
      <c r="H40" s="81"/>
      <c r="I40" s="81"/>
      <c r="J40" s="81"/>
      <c r="K40" s="81"/>
      <c r="L40" s="81"/>
      <c r="M40" s="81"/>
      <c r="N40" s="81"/>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66</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111</v>
      </c>
      <c r="C42" s="1">
        <f>'Input data'!C42</f>
        <v>5.9997530000000001</v>
      </c>
      <c r="D42" s="2">
        <f>'Input data'!D42</f>
        <v>16.066549999999999</v>
      </c>
      <c r="E42" s="2">
        <f>'Input data'!E42</f>
        <v>9.0217489999999998</v>
      </c>
      <c r="F42" s="2">
        <f>'Input data'!F42</f>
        <v>3.6147499999999999</v>
      </c>
      <c r="G42" s="2">
        <f>'Input data'!G42</f>
        <v>3.4727869999999998</v>
      </c>
      <c r="H42" s="2">
        <f>'Input data'!H42</f>
        <v>2.2027230000000002</v>
      </c>
      <c r="I42" s="1">
        <f>'Baseline NFPC'!I41</f>
        <v>2.2211326250000001</v>
      </c>
      <c r="J42" s="1">
        <f>'Baseline NFPC'!J41</f>
        <v>2.2395422500000004</v>
      </c>
      <c r="K42" s="1">
        <f>'Baseline NFPC'!K41</f>
        <v>2.2579518750000003</v>
      </c>
      <c r="L42" s="1">
        <f>'Baseline NFPC'!L41</f>
        <v>2.2763615000000001</v>
      </c>
      <c r="M42" s="1">
        <f>'Baseline NFPC'!M41</f>
        <v>2.294771125</v>
      </c>
      <c r="N42" s="1">
        <f>'Baseline NFPC'!N41</f>
        <v>2.3131807499999999</v>
      </c>
      <c r="O42" s="1">
        <f>'Baseline NFPC'!O41</f>
        <v>2.3315903750000002</v>
      </c>
      <c r="P42" s="178">
        <f>'Baseline NFPC'!P41</f>
        <v>2.35</v>
      </c>
      <c r="Q42" s="1">
        <f>'Baseline NFPC'!Q41</f>
        <v>2.3325</v>
      </c>
      <c r="R42" s="1">
        <f>'Baseline NFPC'!R41</f>
        <v>2.3149999999999999</v>
      </c>
      <c r="S42" s="1">
        <f>'Baseline NFPC'!S41</f>
        <v>2.2974999999999999</v>
      </c>
      <c r="T42" s="1">
        <f>'Baseline NFPC'!T41</f>
        <v>2.2800000000000002</v>
      </c>
      <c r="U42" s="1">
        <f>'Baseline NFPC'!U41</f>
        <v>2.2625000000000002</v>
      </c>
      <c r="V42" s="1">
        <f>'Baseline NFPC'!V41</f>
        <v>2.2450000000000001</v>
      </c>
      <c r="W42" s="1">
        <f>'Baseline NFPC'!W41</f>
        <v>2.2275</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67</v>
      </c>
      <c r="C43" s="1">
        <f>'Baseline NFPC'!C42</f>
        <v>1</v>
      </c>
      <c r="D43" s="1">
        <f>'Baseline NFPC'!D42</f>
        <v>1</v>
      </c>
      <c r="E43" s="1">
        <f>'Baseline NFPC'!E42</f>
        <v>1</v>
      </c>
      <c r="F43" s="1">
        <f>'Baseline NFPC'!F42</f>
        <v>1</v>
      </c>
      <c r="G43" s="1">
        <f>'Baseline NFPC'!G42</f>
        <v>0.99999990000000005</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68</v>
      </c>
      <c r="C45" s="53"/>
    </row>
    <row r="46" spans="2:51" x14ac:dyDescent="0.2">
      <c r="C46" s="25"/>
    </row>
    <row r="47" spans="2:51" x14ac:dyDescent="0.2">
      <c r="B47" s="39" t="s">
        <v>46</v>
      </c>
      <c r="C47" s="40">
        <f>'Input data'!C49</f>
        <v>0.75</v>
      </c>
    </row>
    <row r="48" spans="2:51" x14ac:dyDescent="0.2">
      <c r="B48" s="41" t="s">
        <v>182</v>
      </c>
      <c r="C48" s="42">
        <f>'Input data'!C50</f>
        <v>0.39900000000000002</v>
      </c>
    </row>
    <row r="49" spans="2:48" x14ac:dyDescent="0.2">
      <c r="C49" s="43"/>
    </row>
    <row r="50" spans="2:48" outlineLevel="1" x14ac:dyDescent="0.2">
      <c r="B50" s="15" t="s">
        <v>69</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IF(AND(ABS((G12-F12)-('Baseline NFPC'!G12-'Baseline NFPC'!F12))&gt;0.0001,ABS(G12-F12)&gt;0.0001,G$10&gt;$C$5),4,IF(F50=4,3,IF(F50=3,2,IF(F50=2,1,0))))</f>
        <v>4</v>
      </c>
      <c r="H50" s="23">
        <f>IF(AND(ABS((H12-G12)-('Baseline NFPC'!H12-'Baseline NFPC'!G12))&gt;0.0001,ABS(H12-G12)&gt;0.0001,H$10&gt;$C$5),4,IF(G50=4,3,IF(G50=3,2,IF(G50=2,1,0))))</f>
        <v>4</v>
      </c>
      <c r="I50" s="23">
        <f>IF(AND(ABS((I12-H12)-('Baseline NFPC'!I12-'Baseline NFPC'!H12))&gt;0.0001,ABS(I12-H12)&gt;0.0001,I$10&gt;$C$5),4,IF(H50=4,3,IF(H50=3,2,IF(H50=2,1,0))))</f>
        <v>4</v>
      </c>
      <c r="J50" s="23">
        <f>IF(AND(ABS((J12-I12)-('Baseline NFPC'!J12-'Baseline NFPC'!I12))&gt;0.0001,ABS(J12-I12)&gt;0.0001,J$10&gt;$C$5),4,IF(I50=4,3,IF(I50=3,2,IF(I50=2,1,0))))</f>
        <v>4</v>
      </c>
      <c r="K50" s="23">
        <f>IF(AND(ABS((K12-J12)-('Baseline NFPC'!K12-'Baseline NFPC'!J12))&gt;0.0001,ABS(K12-J12)&gt;0.0001,K$10&gt;$C$5),4,IF(J50=4,3,IF(J50=3,2,IF(J50=2,1,0))))</f>
        <v>3</v>
      </c>
      <c r="L50" s="23">
        <f>IF(AND(ABS((L12-K12)-('Baseline NFPC'!L12-'Baseline NFPC'!K12))&gt;0.0001,ABS(L12-K12)&gt;0.0001,L$10&gt;$C$5),4,IF(K50=4,3,IF(K50=3,2,IF(K50=2,1,0))))</f>
        <v>2</v>
      </c>
      <c r="M50" s="23">
        <f>IF(AND(ABS((M12-L12)-('Baseline NFPC'!M12-'Baseline NFPC'!L12))&gt;0.0001,ABS(M12-L12)&gt;0.0001,M$10&gt;$C$5),4,IF(L50=4,3,IF(L50=3,2,IF(L50=2,1,0))))</f>
        <v>1</v>
      </c>
      <c r="N50" s="23">
        <f>IF(AND(ABS((N12-M12)-('Baseline NFPC'!N12-'Baseline NFPC'!M12))&gt;0.0001,ABS(N12-M12)&gt;0.0001,N$10&gt;$C$5),4,IF(M50=4,3,IF(M50=3,2,IF(M50=2,1,0))))</f>
        <v>0</v>
      </c>
      <c r="O50" s="23">
        <f>IF(AND(ABS((O12-N12)-('Baseline NFPC'!O12-'Baseline NFPC'!N12))&gt;0.0001,ABS(O12-N12)&gt;0.0001,O$10&gt;$C$5),4,IF(N50=4,3,IF(N50=3,2,IF(N50=2,1,0))))</f>
        <v>0</v>
      </c>
      <c r="P50" s="23">
        <f>IF(AND(ABS((P12-O12)-('Baseline NFPC'!P12-'Baseline NFPC'!O12))&gt;0.0001,ABS(P12-O12)&gt;0.0001,P$10&gt;$C$5),4,IF(O50=4,3,IF(O50=3,2,IF(O50=2,1,0))))</f>
        <v>0</v>
      </c>
      <c r="Q50" s="23">
        <f>IF(AND(ABS((Q12-P12)-('Baseline NFPC'!Q12-'Baseline NFPC'!P12))&gt;0.0001,ABS(Q12-P12)&gt;0.0001,Q$10&gt;$C$5),4,IF(P50=4,3,IF(P50=3,2,IF(P50=2,1,0))))</f>
        <v>0</v>
      </c>
      <c r="R50" s="23">
        <f>IF(AND(ABS((R12-Q12)-('Baseline NFPC'!R12-'Baseline NFPC'!Q12))&gt;0.0001,ABS(R12-Q12)&gt;0.0001,R$10&gt;$C$5),4,IF(Q50=4,3,IF(Q50=3,2,IF(Q50=2,1,0))))</f>
        <v>0</v>
      </c>
      <c r="S50" s="23">
        <f>IF(AND(ABS((S12-R12)-('Baseline NFPC'!S12-'Baseline NFPC'!R12))&gt;0.0001,ABS(S12-R12)&gt;0.0001,S$10&gt;$C$5),4,IF(R50=4,3,IF(R50=3,2,IF(R50=2,1,0))))</f>
        <v>0</v>
      </c>
      <c r="T50" s="23">
        <f>IF(AND(ABS((T12-S12)-('Baseline NFPC'!T12-'Baseline NFPC'!S12))&gt;0.0001,ABS(T12-S12)&gt;0.0001,T$10&gt;$C$5),4,IF(S50=4,3,IF(S50=3,2,IF(S50=2,1,0))))</f>
        <v>0</v>
      </c>
      <c r="U50" s="23">
        <f>IF(AND(ABS((U12-T12)-('Baseline NFPC'!U12-'Baseline NFPC'!T12))&gt;0.0001,ABS(U12-T12)&gt;0.0001,U$10&gt;$C$5),4,IF(T50=4,3,IF(T50=3,2,IF(T50=2,1,0))))</f>
        <v>0</v>
      </c>
      <c r="V50" s="23">
        <f>IF(AND(ABS((V12-U12)-('Baseline NFPC'!V12-'Baseline NFPC'!U12))&gt;0.0001,ABS(V12-U12)&gt;0.0001,V$10&gt;$C$5),4,IF(U50=4,3,IF(U50=3,2,IF(U50=2,1,0))))</f>
        <v>0</v>
      </c>
      <c r="W50" s="23">
        <f>IF(AND(ABS((W12-V12)-('Baseline NFPC'!W12-'Baseline NFPC'!V12))&gt;0.0001,ABS(W12-V12)&gt;0.0001,W$10&gt;$C$5),4,IF(V50=4,3,IF(V50=3,2,IF(V50=2,1,0))))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70</v>
      </c>
      <c r="C51" s="23">
        <v>0</v>
      </c>
      <c r="D51" s="23">
        <v>0</v>
      </c>
      <c r="E51" s="23">
        <f>IF(D50=4,2/3*(D30-'Baseline NFPC'!D29),IF(D50=3,1/3*(C30-'Baseline NFPC'!C29),0))</f>
        <v>0</v>
      </c>
      <c r="F51" s="23">
        <f>IF(E50=4,2/3*(E30-'Baseline NFPC'!E29),IF(E50=3,1/3*(D30-'Baseline NFPC'!D29),0))</f>
        <v>0</v>
      </c>
      <c r="G51" s="23">
        <f>IF(F50=4,2/3*(F30-'Baseline NFPC'!F29),IF(F50=3,1/3*(E30-'Baseline NFPC'!E29),0))</f>
        <v>0</v>
      </c>
      <c r="H51" s="23">
        <f>IF(G50=4,2/3*(G30-'Baseline NFPC'!G29),IF(G50=3,1/3*(F30-'Baseline NFPC'!F29),0))</f>
        <v>-7.6314633318393568E-2</v>
      </c>
      <c r="I51" s="23">
        <f>IF(H50=4,2/3*H30,IF(H50=3,1/3*G30,0))</f>
        <v>-1.0442367913788386</v>
      </c>
      <c r="J51" s="23">
        <f t="shared" ref="J51:W51" si="8">IF(I50=4,2/3*I30,IF(I50=3,1/3*H30,0))</f>
        <v>-0.77326101916512047</v>
      </c>
      <c r="K51" s="23">
        <f t="shared" si="8"/>
        <v>-0.59318383952577192</v>
      </c>
      <c r="L51" s="23">
        <f t="shared" si="8"/>
        <v>-0.29659191976288596</v>
      </c>
      <c r="M51" s="23">
        <f t="shared" si="8"/>
        <v>0</v>
      </c>
      <c r="N51" s="23">
        <f t="shared" si="8"/>
        <v>0</v>
      </c>
      <c r="O51" s="23">
        <f t="shared" si="8"/>
        <v>0</v>
      </c>
      <c r="P51" s="23">
        <f t="shared" si="8"/>
        <v>0</v>
      </c>
      <c r="Q51" s="23">
        <f t="shared" si="8"/>
        <v>0</v>
      </c>
      <c r="R51" s="23">
        <f t="shared" si="8"/>
        <v>0</v>
      </c>
      <c r="S51" s="23">
        <f t="shared" si="8"/>
        <v>0</v>
      </c>
      <c r="T51" s="23">
        <f t="shared" si="8"/>
        <v>0</v>
      </c>
      <c r="U51" s="23">
        <f t="shared" si="8"/>
        <v>0</v>
      </c>
      <c r="V51" s="23">
        <f t="shared" si="8"/>
        <v>0</v>
      </c>
      <c r="W51" s="23">
        <f t="shared" si="8"/>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71</v>
      </c>
      <c r="C52" s="23"/>
      <c r="D52" s="23">
        <f>'Input data'!D30-$C$47*((D12-C12)-('Input data'!D13-'Input data'!C13))</f>
        <v>2.537525</v>
      </c>
      <c r="E52" s="23">
        <f>'Input data'!E30-$C$47*((E12-D12)-('Input data'!E13-'Input data'!D13))</f>
        <v>0.34227229999999997</v>
      </c>
      <c r="F52" s="23">
        <f>'Input data'!F30-$C$47*((F12-E12)-('Input data'!F13-'Input data'!E13))</f>
        <v>2.167764</v>
      </c>
      <c r="G52" s="23">
        <f>'Input data'!G30-$C$47*(G12-F12)</f>
        <v>2.578023</v>
      </c>
      <c r="H52" s="23">
        <f>'Input data'!H30-$C$47*(H12-G12)</f>
        <v>2.6891689999999997</v>
      </c>
      <c r="I52" s="23">
        <f>'Input data'!I30-$C$47*(I12-H12)</f>
        <v>2.4865499999999998</v>
      </c>
      <c r="J52" s="23">
        <f>'Input data'!J30-$C$47*(J12-I12)</f>
        <v>2.1475809999999997</v>
      </c>
      <c r="K52" s="23">
        <f>'Input data'!K30-$C$47*(K12-J12)</f>
        <v>2.25936</v>
      </c>
      <c r="L52" s="23">
        <f>'Input data'!L30-$C$47*(L12-K12)</f>
        <v>1.680188</v>
      </c>
      <c r="M52" s="23">
        <f>'Input data'!M30-$C$47*(M12-L12)</f>
        <v>1.625748</v>
      </c>
      <c r="N52" s="23">
        <f>'Input data'!N30-$C$47*(N12-M12)</f>
        <v>1.5743450000000001</v>
      </c>
      <c r="O52" s="23">
        <f>'Input data'!O30-$C$47*(O12-N12)</f>
        <v>1.5709090000000001</v>
      </c>
      <c r="P52" s="23">
        <f>'Input data'!P30-$C$47*(P12-O12)</f>
        <v>1.62144</v>
      </c>
      <c r="Q52" s="23">
        <f>'Input data'!Q30-$C$47*(Q12-P12)</f>
        <v>1.564576</v>
      </c>
      <c r="R52" s="23">
        <f>'Input data'!R30-$C$47*(R12-Q12)</f>
        <v>1.507714</v>
      </c>
      <c r="S52" s="23">
        <f>'Input data'!S30-$C$47*(S12-R12)</f>
        <v>1.4508490000000001</v>
      </c>
      <c r="T52" s="23">
        <f>'Input data'!T30-$C$47*(T12-S12)</f>
        <v>1.3712059999999999</v>
      </c>
      <c r="U52" s="23">
        <f>'Input data'!U30-$C$47*(U12-T12)</f>
        <v>1.278017</v>
      </c>
      <c r="V52" s="23">
        <f>'Input data'!V30-$C$47*(V12-U12)</f>
        <v>1.16737</v>
      </c>
      <c r="W52" s="23">
        <f>'Input data'!W30-$C$47*(W12-V12)</f>
        <v>1.095977</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72</v>
      </c>
      <c r="C54" s="54"/>
      <c r="E54" s="55"/>
      <c r="F54" s="54"/>
    </row>
    <row r="55" spans="2:48" outlineLevel="1" x14ac:dyDescent="0.2">
      <c r="B55" s="30"/>
      <c r="C55" s="18"/>
      <c r="E55" s="31"/>
      <c r="F55" s="18"/>
    </row>
    <row r="56" spans="2:48" outlineLevel="1" x14ac:dyDescent="0.2">
      <c r="B56" s="65"/>
      <c r="C56" s="66">
        <v>2021</v>
      </c>
      <c r="D56" s="66">
        <v>2022</v>
      </c>
      <c r="E56" s="66">
        <v>2023</v>
      </c>
      <c r="F56" s="66">
        <v>2024</v>
      </c>
      <c r="G56" s="66">
        <v>2025</v>
      </c>
      <c r="H56" s="66">
        <v>2026</v>
      </c>
      <c r="I56" s="66">
        <v>2027</v>
      </c>
      <c r="J56" s="66">
        <v>2028</v>
      </c>
      <c r="K56" s="66">
        <v>2029</v>
      </c>
      <c r="L56" s="66">
        <v>2030</v>
      </c>
      <c r="M56" s="66">
        <v>2031</v>
      </c>
      <c r="N56" s="66">
        <v>2032</v>
      </c>
      <c r="O56" s="66">
        <v>2033</v>
      </c>
      <c r="P56" s="66">
        <v>2034</v>
      </c>
      <c r="Q56" s="66">
        <v>2035</v>
      </c>
      <c r="R56" s="66">
        <v>2036</v>
      </c>
      <c r="S56" s="66">
        <v>2037</v>
      </c>
      <c r="T56" s="66">
        <v>2038</v>
      </c>
      <c r="U56" s="66">
        <v>2039</v>
      </c>
      <c r="V56" s="66">
        <v>2040</v>
      </c>
      <c r="W56" s="66">
        <v>2041</v>
      </c>
    </row>
    <row r="57" spans="2:48" ht="10.5" customHeight="1" outlineLevel="1" x14ac:dyDescent="0.2">
      <c r="B57" s="67" t="s">
        <v>73</v>
      </c>
      <c r="C57" s="32">
        <f>+'Input data'!C12</f>
        <v>43.287930000000003</v>
      </c>
      <c r="D57" s="32">
        <f>+C57+D58</f>
        <v>38.058251267161467</v>
      </c>
      <c r="E57" s="32">
        <f>+D57+E58</f>
        <v>37.344895037084065</v>
      </c>
      <c r="F57" s="32">
        <f>+E57+F58</f>
        <v>38.25865969882279</v>
      </c>
      <c r="G57" s="32">
        <f>+F57+G58</f>
        <v>40.74877946072607</v>
      </c>
      <c r="H57" s="32">
        <f t="shared" ref="H57:S57" si="9">+G57+H58</f>
        <v>43.648668912354275</v>
      </c>
      <c r="I57" s="32">
        <f t="shared" si="9"/>
        <v>43.220346968472072</v>
      </c>
      <c r="J57" s="32">
        <f t="shared" si="9"/>
        <v>42.742241902433307</v>
      </c>
      <c r="K57" s="32">
        <f t="shared" si="9"/>
        <v>42.335642472219156</v>
      </c>
      <c r="L57" s="32">
        <f t="shared" si="9"/>
        <v>42.060487915245872</v>
      </c>
      <c r="M57" s="32">
        <f t="shared" si="9"/>
        <v>41.901081795148514</v>
      </c>
      <c r="N57" s="32">
        <f t="shared" si="9"/>
        <v>42.10262670661902</v>
      </c>
      <c r="O57" s="32">
        <f t="shared" si="9"/>
        <v>42.518341842453523</v>
      </c>
      <c r="P57" s="32">
        <f t="shared" si="9"/>
        <v>43.099861758809325</v>
      </c>
      <c r="Q57" s="32">
        <f t="shared" si="9"/>
        <v>43.906427392589912</v>
      </c>
      <c r="R57" s="32">
        <f t="shared" si="9"/>
        <v>44.914602509297943</v>
      </c>
      <c r="S57" s="32">
        <f t="shared" si="9"/>
        <v>46.083537968625073</v>
      </c>
      <c r="T57" s="32">
        <f>+S57+T58</f>
        <v>47.418746060084608</v>
      </c>
      <c r="U57" s="32">
        <f>+T57+U58</f>
        <v>48.926936161571298</v>
      </c>
      <c r="V57" s="32">
        <f t="shared" ref="V57:W57" si="10">+U57+V58</f>
        <v>50.602820349699115</v>
      </c>
      <c r="W57" s="32">
        <f t="shared" si="10"/>
        <v>52.444862963237547</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8" t="s">
        <v>74</v>
      </c>
      <c r="C58" s="33"/>
      <c r="D58" s="33">
        <f>-D59+D67+D72</f>
        <v>-5.2296787328385381</v>
      </c>
      <c r="E58" s="33">
        <f>-E59+E67+E72</f>
        <v>-0.7133562300773999</v>
      </c>
      <c r="F58" s="33">
        <f>-F59+F67+F72</f>
        <v>0.91376466173872706</v>
      </c>
      <c r="G58" s="33">
        <f>-G59+G67+G72</f>
        <v>2.4901197619032813</v>
      </c>
      <c r="H58" s="33">
        <f t="shared" ref="H58:S58" si="11">-H59+H67+H72</f>
        <v>2.8998894516282046</v>
      </c>
      <c r="I58" s="33">
        <f t="shared" si="11"/>
        <v>-0.42832194388220302</v>
      </c>
      <c r="J58" s="33">
        <f t="shared" si="11"/>
        <v>-0.4781050660387644</v>
      </c>
      <c r="K58" s="33">
        <f t="shared" si="11"/>
        <v>-0.40659943021414829</v>
      </c>
      <c r="L58" s="33">
        <f t="shared" si="11"/>
        <v>-0.27515455697328628</v>
      </c>
      <c r="M58" s="33">
        <f t="shared" si="11"/>
        <v>-0.15940612009736183</v>
      </c>
      <c r="N58" s="33">
        <f t="shared" si="11"/>
        <v>0.20154491147050374</v>
      </c>
      <c r="O58" s="33">
        <f t="shared" si="11"/>
        <v>0.41571513583450603</v>
      </c>
      <c r="P58" s="33">
        <f t="shared" si="11"/>
        <v>0.58151991635580513</v>
      </c>
      <c r="Q58" s="33">
        <f t="shared" si="11"/>
        <v>0.80656563378058277</v>
      </c>
      <c r="R58" s="33">
        <f t="shared" si="11"/>
        <v>1.00817511670803</v>
      </c>
      <c r="S58" s="33">
        <f t="shared" si="11"/>
        <v>1.1689354593271299</v>
      </c>
      <c r="T58" s="33">
        <f>-T59+T67+T72</f>
        <v>1.3352080914595359</v>
      </c>
      <c r="U58" s="33">
        <f t="shared" ref="U58:W58" si="12">-U59+U67+U72</f>
        <v>1.5081901014866872</v>
      </c>
      <c r="V58" s="33">
        <f t="shared" si="12"/>
        <v>1.6758841881278173</v>
      </c>
      <c r="W58" s="33">
        <f t="shared" si="12"/>
        <v>1.8420426135384291</v>
      </c>
    </row>
    <row r="59" spans="2:48" outlineLevel="1" x14ac:dyDescent="0.2">
      <c r="B59" s="64" t="s">
        <v>75</v>
      </c>
      <c r="C59" s="34"/>
      <c r="D59" s="34">
        <f>D60+D61-D62-D63-D64-D65-D66</f>
        <v>-0.37224146716146173</v>
      </c>
      <c r="E59" s="34">
        <f>E60+E61-E62-E63-E64-E65-E66</f>
        <v>-9.8784769922599977E-2</v>
      </c>
      <c r="F59" s="34">
        <f t="shared" ref="F59:R59" si="13">F60+F61-F62-F63-F64-F65-F66</f>
        <v>-1.2530012617387272</v>
      </c>
      <c r="G59" s="34">
        <f t="shared" si="13"/>
        <v>-1.0650686937870422</v>
      </c>
      <c r="H59" s="34">
        <f t="shared" si="13"/>
        <v>-0.64167651964023475</v>
      </c>
      <c r="I59" s="34">
        <f t="shared" si="13"/>
        <v>-0.35259581997032452</v>
      </c>
      <c r="J59" s="34">
        <f t="shared" si="13"/>
        <v>-8.4819627956174426E-2</v>
      </c>
      <c r="K59" s="34">
        <f t="shared" si="13"/>
        <v>-0.14572065197078626</v>
      </c>
      <c r="L59" s="34">
        <f t="shared" si="13"/>
        <v>-0.21102157598538607</v>
      </c>
      <c r="M59" s="34">
        <f t="shared" si="13"/>
        <v>-0.28378249999999644</v>
      </c>
      <c r="N59" s="34">
        <f t="shared" si="13"/>
        <v>-0.47955320718426891</v>
      </c>
      <c r="O59" s="34">
        <f t="shared" si="13"/>
        <v>-0.67212322869718344</v>
      </c>
      <c r="P59" s="34">
        <f t="shared" si="13"/>
        <v>-0.83767472133087295</v>
      </c>
      <c r="Q59" s="34">
        <f t="shared" si="13"/>
        <v>-1.0064862141843873</v>
      </c>
      <c r="R59" s="34">
        <f t="shared" si="13"/>
        <v>-1.1537773141843857</v>
      </c>
      <c r="S59" s="34">
        <f>S60+S61-S62-S63-S64-S65-S66</f>
        <v>-1.2612589074782905</v>
      </c>
      <c r="T59" s="34">
        <f>T60+T61-T62-T63-T64-T65-T66</f>
        <v>-1.3642292202724824</v>
      </c>
      <c r="U59" s="34">
        <f>U60+U61-U62-U63-U64-U65-U66</f>
        <v>-1.4665914021676549</v>
      </c>
      <c r="V59" s="34">
        <f t="shared" ref="V59:W59" si="14">V60+V61-V62-V63-V64-V65-V66</f>
        <v>-1.5530226021676552</v>
      </c>
      <c r="W59" s="34">
        <f t="shared" si="14"/>
        <v>-1.6540637021676485</v>
      </c>
    </row>
    <row r="60" spans="2:48" outlineLevel="1" x14ac:dyDescent="0.2">
      <c r="B60" s="63" t="s">
        <v>76</v>
      </c>
      <c r="C60" s="1"/>
      <c r="D60" s="1">
        <f>D12</f>
        <v>-0.89109400000000005</v>
      </c>
      <c r="E60" s="1">
        <f>E12</f>
        <v>0.7080978</v>
      </c>
      <c r="F60" s="1">
        <f>F12</f>
        <v>-0.36979909999999999</v>
      </c>
      <c r="G60" s="1">
        <f t="shared" ref="G60:W60" si="15">IF(G12="",F60,G12)</f>
        <v>-0.20979909999999996</v>
      </c>
      <c r="H60" s="1">
        <f t="shared" si="15"/>
        <v>-4.979909999999993E-2</v>
      </c>
      <c r="I60" s="1">
        <f t="shared" si="15"/>
        <v>0.1102009000000001</v>
      </c>
      <c r="J60" s="1">
        <f t="shared" si="15"/>
        <v>0.27020090000000013</v>
      </c>
      <c r="K60" s="1">
        <f t="shared" si="15"/>
        <v>0.27020090000000013</v>
      </c>
      <c r="L60" s="1">
        <f t="shared" si="15"/>
        <v>0.27020090000000013</v>
      </c>
      <c r="M60" s="1">
        <f t="shared" si="15"/>
        <v>0.27020090000000013</v>
      </c>
      <c r="N60" s="1">
        <f t="shared" si="15"/>
        <v>0.27020090000000013</v>
      </c>
      <c r="O60" s="1">
        <f t="shared" si="15"/>
        <v>0.27020090000000013</v>
      </c>
      <c r="P60" s="1">
        <f t="shared" si="15"/>
        <v>0.27020090000000013</v>
      </c>
      <c r="Q60" s="1">
        <f t="shared" si="15"/>
        <v>0.27020090000000013</v>
      </c>
      <c r="R60" s="1">
        <f t="shared" si="15"/>
        <v>0.27020090000000013</v>
      </c>
      <c r="S60" s="1">
        <f t="shared" si="15"/>
        <v>0.27020090000000013</v>
      </c>
      <c r="T60" s="1">
        <f t="shared" si="15"/>
        <v>0.27020090000000013</v>
      </c>
      <c r="U60" s="1">
        <f t="shared" si="15"/>
        <v>0.27020090000000013</v>
      </c>
      <c r="V60" s="1">
        <f t="shared" si="15"/>
        <v>0.27020090000000013</v>
      </c>
      <c r="W60" s="1">
        <f t="shared" si="15"/>
        <v>0.27020090000000013</v>
      </c>
    </row>
    <row r="61" spans="2:48" outlineLevel="1" x14ac:dyDescent="0.2">
      <c r="B61" s="63" t="s">
        <v>77</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3" t="s">
        <v>78</v>
      </c>
      <c r="C62" s="1"/>
      <c r="D62" s="1">
        <f t="shared" ref="D62:W62" si="16">-$C$48*D30</f>
        <v>-0.35859863283853832</v>
      </c>
      <c r="E62" s="1">
        <f t="shared" si="16"/>
        <v>0.81013486992259998</v>
      </c>
      <c r="F62" s="1">
        <f t="shared" si="16"/>
        <v>0.88576236173872713</v>
      </c>
      <c r="G62" s="1">
        <f t="shared" si="16"/>
        <v>0.85683149378704215</v>
      </c>
      <c r="H62" s="1">
        <f t="shared" si="16"/>
        <v>0.62497571964023491</v>
      </c>
      <c r="I62" s="1">
        <f t="shared" si="16"/>
        <v>0.46279671997032462</v>
      </c>
      <c r="J62" s="1">
        <f t="shared" si="16"/>
        <v>0.35502052795617456</v>
      </c>
      <c r="K62" s="1">
        <f t="shared" si="16"/>
        <v>0.23668035197078596</v>
      </c>
      <c r="L62" s="1">
        <f t="shared" si="16"/>
        <v>0.11834017598538855</v>
      </c>
      <c r="M62" s="1">
        <f>-$C$48*M30</f>
        <v>0</v>
      </c>
      <c r="N62" s="1">
        <f t="shared" si="16"/>
        <v>-3.9281572741245444E-7</v>
      </c>
      <c r="O62" s="1">
        <f t="shared" si="16"/>
        <v>-1.5713028131969509E-6</v>
      </c>
      <c r="P62" s="1">
        <f t="shared" si="16"/>
        <v>-1.1786691235693425E-6</v>
      </c>
      <c r="Q62" s="1">
        <f t="shared" si="16"/>
        <v>-7.8581561004931197E-7</v>
      </c>
      <c r="R62" s="1">
        <f t="shared" si="16"/>
        <v>-7.8581561004931197E-7</v>
      </c>
      <c r="S62" s="1">
        <f t="shared" si="16"/>
        <v>-3.9252170453973893E-7</v>
      </c>
      <c r="T62" s="1">
        <f t="shared" si="16"/>
        <v>-1.1797275155434052E-6</v>
      </c>
      <c r="U62" s="1">
        <f>-$C$48*U30</f>
        <v>2.1676556549721229E-9</v>
      </c>
      <c r="V62" s="1">
        <f t="shared" si="16"/>
        <v>2.1676556549721229E-9</v>
      </c>
      <c r="W62" s="1">
        <f t="shared" si="16"/>
        <v>2.1676512251822544E-9</v>
      </c>
    </row>
    <row r="63" spans="2:48" outlineLevel="1" x14ac:dyDescent="0.2">
      <c r="B63" s="63" t="s">
        <v>79</v>
      </c>
      <c r="C63" s="1"/>
      <c r="D63" s="1">
        <f t="shared" ref="D63:W63" si="17">-D14</f>
        <v>-0.1602539</v>
      </c>
      <c r="E63" s="1">
        <f t="shared" si="17"/>
        <v>-3.2523000000000001E-3</v>
      </c>
      <c r="F63" s="1">
        <f t="shared" si="17"/>
        <v>-2.5601999999999999E-3</v>
      </c>
      <c r="G63" s="1">
        <f t="shared" si="17"/>
        <v>-1.5619E-3</v>
      </c>
      <c r="H63" s="1">
        <f t="shared" si="17"/>
        <v>-3.3098299999999997E-2</v>
      </c>
      <c r="I63" s="1">
        <f t="shared" si="17"/>
        <v>0</v>
      </c>
      <c r="J63" s="1">
        <f t="shared" si="17"/>
        <v>0</v>
      </c>
      <c r="K63" s="1">
        <f t="shared" si="17"/>
        <v>0</v>
      </c>
      <c r="L63" s="1">
        <f t="shared" si="17"/>
        <v>0</v>
      </c>
      <c r="M63" s="1">
        <f t="shared" si="17"/>
        <v>0</v>
      </c>
      <c r="N63" s="1">
        <f t="shared" si="17"/>
        <v>0</v>
      </c>
      <c r="O63" s="1">
        <f t="shared" si="17"/>
        <v>0</v>
      </c>
      <c r="P63" s="1">
        <f t="shared" si="17"/>
        <v>0</v>
      </c>
      <c r="Q63" s="1">
        <f t="shared" si="17"/>
        <v>0</v>
      </c>
      <c r="R63" s="1">
        <f t="shared" si="17"/>
        <v>0</v>
      </c>
      <c r="S63" s="1">
        <f t="shared" si="17"/>
        <v>0</v>
      </c>
      <c r="T63" s="1">
        <f t="shared" si="17"/>
        <v>0</v>
      </c>
      <c r="U63" s="1">
        <f t="shared" si="17"/>
        <v>0</v>
      </c>
      <c r="V63" s="1">
        <f t="shared" si="17"/>
        <v>0</v>
      </c>
      <c r="W63" s="1">
        <f t="shared" si="17"/>
        <v>0</v>
      </c>
    </row>
    <row r="64" spans="2:48" outlineLevel="1" x14ac:dyDescent="0.2">
      <c r="B64" s="63" t="s">
        <v>80</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0.17332000000000036</v>
      </c>
      <c r="L64" s="1">
        <f>IF(L$56&lt;=$C$6,0,HLOOKUP(L$56,'Input data'!$C$9:$BB$26,12,FALSE)-HLOOKUP($C$6,'Input data'!$C$9:$BB$26,12,FALSE))</f>
        <v>0.35103999999999758</v>
      </c>
      <c r="M64" s="1">
        <f>IF(M$56&lt;=$C$6,0,HLOOKUP(M$56,'Input data'!$C$9:$BB$26,12,FALSE)-HLOOKUP($C$6,'Input data'!$C$9:$BB$26,12,FALSE))</f>
        <v>0.53621999999999659</v>
      </c>
      <c r="N64" s="1">
        <f>IF(N$56&lt;=$C$6,0,HLOOKUP(N$56,'Input data'!$C$9:$BB$26,12,FALSE)-HLOOKUP($C$6,'Input data'!$C$9:$BB$26,12,FALSE))</f>
        <v>0.72606999999999644</v>
      </c>
      <c r="O64" s="1">
        <f>IF(O$56&lt;=$C$6,0,HLOOKUP(O$56,'Input data'!$C$9:$BB$26,12,FALSE)-HLOOKUP($C$6,'Input data'!$C$9:$BB$26,12,FALSE))</f>
        <v>0.91271999999999665</v>
      </c>
      <c r="P64" s="1">
        <f>IF(P$56&lt;=$C$6,0,HLOOKUP(P$56,'Input data'!$C$9:$BB$26,12,FALSE)-HLOOKUP($C$6,'Input data'!$C$9:$BB$26,12,FALSE))</f>
        <v>1.0723499999999966</v>
      </c>
      <c r="Q64" s="1">
        <f>IF(Q$56&lt;=$C$6,0,HLOOKUP(Q$56,'Input data'!$C$9:$BB$26,12,FALSE)-HLOOKUP($C$6,'Input data'!$C$9:$BB$26,12,FALSE))</f>
        <v>1.2352399999999975</v>
      </c>
      <c r="R64" s="1">
        <f>IF(R$56&lt;=$C$6,0,HLOOKUP(R$56,'Input data'!$C$9:$BB$26,12,FALSE)-HLOOKUP($C$6,'Input data'!$C$9:$BB$26,12,FALSE))</f>
        <v>1.3766099999999959</v>
      </c>
      <c r="S64" s="1">
        <f>IF(S$56&lt;=$C$6,0,HLOOKUP(S$56,'Input data'!$C$9:$BB$26,12,FALSE)-HLOOKUP($C$6,'Input data'!$C$9:$BB$26,12,FALSE))</f>
        <v>1.4781699999999951</v>
      </c>
      <c r="T64" s="1">
        <f>IF(T$56&lt;=$C$6,0,HLOOKUP(T$56,'Input data'!$C$9:$BB$26,12,FALSE)-HLOOKUP($C$6,'Input data'!$C$9:$BB$26,12,FALSE))</f>
        <v>1.5752199999999981</v>
      </c>
      <c r="U64" s="1">
        <f>IF(U$56&lt;=$C$6,0,HLOOKUP(U$56,'Input data'!$C$9:$BB$26,12,FALSE)-HLOOKUP($C$6,'Input data'!$C$9:$BB$26,12,FALSE))</f>
        <v>1.6716599999999993</v>
      </c>
      <c r="V64" s="1">
        <f>IF(V$56&lt;=$C$6,0,HLOOKUP(V$56,'Input data'!$C$9:$BB$26,12,FALSE)-HLOOKUP($C$6,'Input data'!$C$9:$BB$26,12,FALSE))</f>
        <v>1.7521699999999996</v>
      </c>
      <c r="W64" s="1">
        <f>IF(W$56&lt;=$C$6,0,HLOOKUP(W$56,'Input data'!$C$9:$BB$26,12,FALSE)-HLOOKUP($C$6,'Input data'!$C$9:$BB$26,12,FALSE))</f>
        <v>1.8472899999999974</v>
      </c>
    </row>
    <row r="65" spans="2:23" outlineLevel="1" x14ac:dyDescent="0.2">
      <c r="B65" s="63" t="s">
        <v>81</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5.9212000000000709E-3</v>
      </c>
      <c r="L65" s="1">
        <f>IF(L$56&lt;=$C$6,0,-HLOOKUP(L$56,'Input data'!$C$9:$BB$26,18,FALSE)+HLOOKUP($C$6,'Input data'!$C$9:$BB$26,18,FALSE))</f>
        <v>1.1842300000000083E-2</v>
      </c>
      <c r="M65" s="1">
        <f>IF(M$56&lt;=$C$6,0,-HLOOKUP(M$56,'Input data'!$C$9:$BB$26,18,FALSE)+HLOOKUP($C$6,'Input data'!$C$9:$BB$26,18,FALSE))</f>
        <v>1.7763399999999985E-2</v>
      </c>
      <c r="N65" s="1">
        <f>IF(N$56&lt;=$C$6,0,-HLOOKUP(N$56,'Input data'!$C$9:$BB$26,18,FALSE)+HLOOKUP($C$6,'Input data'!$C$9:$BB$26,18,FALSE))</f>
        <v>2.3684499999999997E-2</v>
      </c>
      <c r="O65" s="1">
        <f>IF(O$56&lt;=$C$6,0,-HLOOKUP(O$56,'Input data'!$C$9:$BB$26,18,FALSE)+HLOOKUP($C$6,'Input data'!$C$9:$BB$26,18,FALSE))</f>
        <v>2.9605700000000068E-2</v>
      </c>
      <c r="P65" s="1">
        <f>IF(P$56&lt;=$C$6,0,-HLOOKUP(P$56,'Input data'!$C$9:$BB$26,18,FALSE)+HLOOKUP($C$6,'Input data'!$C$9:$BB$26,18,FALSE))</f>
        <v>3.5526800000000081E-2</v>
      </c>
      <c r="Q65" s="1">
        <f>IF(Q$56&lt;=$C$6,0,-HLOOKUP(Q$56,'Input data'!$C$9:$BB$26,18,FALSE)+HLOOKUP($C$6,'Input data'!$C$9:$BB$26,18,FALSE))</f>
        <v>4.1447899999999982E-2</v>
      </c>
      <c r="R65" s="1">
        <f>IF(R$56&lt;=$C$6,0,-HLOOKUP(R$56,'Input data'!$C$9:$BB$26,18,FALSE)+HLOOKUP($C$6,'Input data'!$C$9:$BB$26,18,FALSE))</f>
        <v>4.7368999999999994E-2</v>
      </c>
      <c r="S65" s="1">
        <f>IF(S$56&lt;=$C$6,0,-HLOOKUP(S$56,'Input data'!$C$9:$BB$26,18,FALSE)+HLOOKUP($C$6,'Input data'!$C$9:$BB$26,18,FALSE))</f>
        <v>5.3290200000000065E-2</v>
      </c>
      <c r="T65" s="1">
        <f>IF(T$56&lt;=$C$6,0,-HLOOKUP(T$56,'Input data'!$C$9:$BB$26,18,FALSE)+HLOOKUP($C$6,'Input data'!$C$9:$BB$26,18,FALSE))</f>
        <v>5.9211300000000078E-2</v>
      </c>
      <c r="U65" s="188">
        <f>IF(U$56&lt;=$C$6,0,-HLOOKUP(U$56,'Input data'!$C$9:$BB$26,18,FALSE)+HLOOKUP($C$6,'Input data'!$C$9:$BB$26,18,FALSE))</f>
        <v>6.5132300000000032E-2</v>
      </c>
      <c r="V65" s="188">
        <f>IF(V$56&lt;=$C$6,0,-HLOOKUP(V$56,'Input data'!$C$9:$BB$26,18,FALSE)+HLOOKUP($C$6,'Input data'!$C$9:$BB$26,18,FALSE))</f>
        <v>7.1053499999999992E-2</v>
      </c>
      <c r="W65" s="188">
        <f>IF(W$56&lt;=$C$6,0,-HLOOKUP(W$56,'Input data'!$C$9:$BB$26,18,FALSE)+HLOOKUP($C$6,'Input data'!$C$9:$BB$26,18,FALSE))</f>
        <v>7.6974600000000004E-2</v>
      </c>
    </row>
    <row r="66" spans="2:23" outlineLevel="1" x14ac:dyDescent="0.2">
      <c r="B66" s="63" t="s">
        <v>82</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89">
        <v>0</v>
      </c>
      <c r="V66" s="189">
        <v>0</v>
      </c>
      <c r="W66" s="189">
        <v>0</v>
      </c>
    </row>
    <row r="67" spans="2:23" outlineLevel="1" x14ac:dyDescent="0.2">
      <c r="B67" s="64" t="s">
        <v>83</v>
      </c>
      <c r="C67" s="34"/>
      <c r="D67" s="34">
        <f t="shared" ref="D67:O67" si="18">SUM(D68:D71)</f>
        <v>-6.5808179999999998</v>
      </c>
      <c r="E67" s="34">
        <f t="shared" si="18"/>
        <v>-2.677216</v>
      </c>
      <c r="F67" s="34">
        <f t="shared" si="18"/>
        <v>-1.2856380000000001</v>
      </c>
      <c r="G67" s="34">
        <f t="shared" si="18"/>
        <v>-1.2924489318837606</v>
      </c>
      <c r="H67" s="34">
        <f t="shared" si="18"/>
        <v>-0.81478706801203005</v>
      </c>
      <c r="I67" s="34">
        <f t="shared" si="18"/>
        <v>-0.78091776385252754</v>
      </c>
      <c r="J67" s="34">
        <f t="shared" si="18"/>
        <v>-0.56292469399493883</v>
      </c>
      <c r="K67" s="34">
        <f t="shared" si="18"/>
        <v>-0.55232008218493456</v>
      </c>
      <c r="L67" s="34">
        <f t="shared" si="18"/>
        <v>-0.48617613295867235</v>
      </c>
      <c r="M67" s="34">
        <f t="shared" si="18"/>
        <v>-0.44318862009735827</v>
      </c>
      <c r="N67" s="34">
        <f t="shared" si="18"/>
        <v>-0.27800829571376517</v>
      </c>
      <c r="O67" s="34">
        <f t="shared" si="18"/>
        <v>-0.25640809286267741</v>
      </c>
      <c r="P67" s="34">
        <f t="shared" ref="P67:W67" si="19">SUM(P68:P71)</f>
        <v>-0.25615480497506782</v>
      </c>
      <c r="Q67" s="34">
        <f t="shared" si="19"/>
        <v>-0.19992058040380456</v>
      </c>
      <c r="R67" s="34">
        <f t="shared" si="19"/>
        <v>-0.14560219747635583</v>
      </c>
      <c r="S67" s="34">
        <f t="shared" si="19"/>
        <v>-9.232344815116067E-2</v>
      </c>
      <c r="T67" s="34">
        <f t="shared" si="19"/>
        <v>-2.9021128812946495E-2</v>
      </c>
      <c r="U67" s="34">
        <f t="shared" si="19"/>
        <v>4.1598699319032262E-2</v>
      </c>
      <c r="V67" s="34">
        <f t="shared" si="19"/>
        <v>0.12286158596016206</v>
      </c>
      <c r="W67" s="34">
        <f t="shared" si="19"/>
        <v>0.1879789113707806</v>
      </c>
    </row>
    <row r="68" spans="2:23" outlineLevel="1" x14ac:dyDescent="0.2">
      <c r="B68" s="63" t="s">
        <v>84</v>
      </c>
      <c r="C68" s="23"/>
      <c r="D68" s="23">
        <f t="shared" ref="D68:E68" si="20">C57*D36/100*(1/(1+D33/100))</f>
        <v>0.33429464897585787</v>
      </c>
      <c r="E68" s="23">
        <f t="shared" si="20"/>
        <v>0.59124962330069897</v>
      </c>
      <c r="F68" s="23">
        <f>E57*F36/100*(1/(1+F33/100))</f>
        <v>0.78192213335374294</v>
      </c>
      <c r="G68" s="23">
        <f>F57*G36/100*(1/(1+G33/100))</f>
        <v>0.92085891730334535</v>
      </c>
      <c r="H68" s="23">
        <f t="shared" ref="H68:W68" si="21">G57*H36/100*(1/(1+H33/100))</f>
        <v>1.1229130465840675</v>
      </c>
      <c r="I68" s="23">
        <f t="shared" si="21"/>
        <v>1.2307653000253795</v>
      </c>
      <c r="J68" s="23">
        <f>I57*J36/100*(1/(1+J33/100))</f>
        <v>1.2431038168638167</v>
      </c>
      <c r="K68" s="23">
        <f t="shared" si="21"/>
        <v>1.249280200393815</v>
      </c>
      <c r="L68" s="23">
        <f t="shared" si="21"/>
        <v>1.2611813479527862</v>
      </c>
      <c r="M68" s="23">
        <f t="shared" si="21"/>
        <v>1.2781154617209316</v>
      </c>
      <c r="N68" s="23">
        <f t="shared" si="21"/>
        <v>1.304085875636134</v>
      </c>
      <c r="O68" s="23">
        <f t="shared" si="21"/>
        <v>1.3392140727777078</v>
      </c>
      <c r="P68" s="23">
        <f t="shared" si="21"/>
        <v>1.3829174313542749</v>
      </c>
      <c r="Q68" s="23">
        <f t="shared" si="21"/>
        <v>1.4312781962541841</v>
      </c>
      <c r="R68" s="23">
        <f t="shared" si="21"/>
        <v>1.4852286466466964</v>
      </c>
      <c r="S68" s="23">
        <f t="shared" si="21"/>
        <v>1.5443117618658573</v>
      </c>
      <c r="T68" s="23">
        <f t="shared" si="21"/>
        <v>1.6077186565885206</v>
      </c>
      <c r="U68" s="23">
        <f t="shared" si="21"/>
        <v>1.675845334469823</v>
      </c>
      <c r="V68" s="23">
        <f t="shared" si="21"/>
        <v>1.7493249793836156</v>
      </c>
      <c r="W68" s="23">
        <f t="shared" si="21"/>
        <v>1.8272254477124548</v>
      </c>
    </row>
    <row r="69" spans="2:23" outlineLevel="1" x14ac:dyDescent="0.2">
      <c r="B69" s="63" t="s">
        <v>85</v>
      </c>
      <c r="C69" s="23"/>
      <c r="D69" s="23">
        <f t="shared" ref="D69:W69" si="22">-C57*(D24/100)*(1/(1+D33/100))</f>
        <v>-0.92296927165233233</v>
      </c>
      <c r="E69" s="23">
        <f t="shared" si="22"/>
        <v>-0.1190757993807937</v>
      </c>
      <c r="F69" s="23">
        <f t="shared" si="22"/>
        <v>-0.76472937130044816</v>
      </c>
      <c r="G69" s="23">
        <f t="shared" si="22"/>
        <v>-0.92925748449562973</v>
      </c>
      <c r="H69" s="23">
        <f t="shared" si="22"/>
        <v>-1.0594625187145386</v>
      </c>
      <c r="I69" s="23">
        <f t="shared" si="22"/>
        <v>-1.0632541033545073</v>
      </c>
      <c r="J69" s="23">
        <f t="shared" si="22"/>
        <v>-0.85929311899961747</v>
      </c>
      <c r="K69" s="23">
        <f t="shared" si="22"/>
        <v>-0.85781133046599378</v>
      </c>
      <c r="L69" s="23">
        <f t="shared" si="22"/>
        <v>-0.80509452602989962</v>
      </c>
      <c r="M69" s="23">
        <f t="shared" si="22"/>
        <v>-0.77776423017352492</v>
      </c>
      <c r="N69" s="23">
        <f t="shared" si="22"/>
        <v>-0.63475996570589188</v>
      </c>
      <c r="O69" s="23">
        <f t="shared" si="22"/>
        <v>-0.63632817996464586</v>
      </c>
      <c r="P69" s="23">
        <f t="shared" si="22"/>
        <v>-0.66283282910153829</v>
      </c>
      <c r="Q69" s="23">
        <f t="shared" si="22"/>
        <v>-0.64880874853962212</v>
      </c>
      <c r="R69" s="23">
        <f t="shared" si="22"/>
        <v>-0.6373950877447534</v>
      </c>
      <c r="S69" s="23">
        <f t="shared" si="22"/>
        <v>-0.62789795578194851</v>
      </c>
      <c r="T69" s="23">
        <f t="shared" si="22"/>
        <v>-0.60945716349625423</v>
      </c>
      <c r="U69" s="23">
        <f t="shared" si="22"/>
        <v>-0.58513368601556071</v>
      </c>
      <c r="V69" s="23">
        <f t="shared" si="22"/>
        <v>-0.55217152895352783</v>
      </c>
      <c r="W69" s="23">
        <f t="shared" si="22"/>
        <v>-0.53662950737241677</v>
      </c>
    </row>
    <row r="70" spans="2:23" outlineLevel="1" x14ac:dyDescent="0.2">
      <c r="B70" s="63" t="s">
        <v>86</v>
      </c>
      <c r="C70" s="23"/>
      <c r="D70" s="23">
        <f t="shared" ref="D70:W70" si="23">-C57*D42/100*(1/(1+D42/100))</f>
        <v>-5.9921458141169879</v>
      </c>
      <c r="E70" s="23">
        <f t="shared" si="23"/>
        <v>-3.1493898553330193</v>
      </c>
      <c r="F70" s="23">
        <f t="shared" si="23"/>
        <v>-1.3028305268825107</v>
      </c>
      <c r="G70" s="23">
        <f t="shared" si="23"/>
        <v>-1.2840494577525556</v>
      </c>
      <c r="H70" s="23">
        <f t="shared" si="23"/>
        <v>-0.87823759588155903</v>
      </c>
      <c r="I70" s="23">
        <f t="shared" si="23"/>
        <v>-0.94842896052339976</v>
      </c>
      <c r="J70" s="23">
        <f t="shared" si="23"/>
        <v>-0.94673539185913802</v>
      </c>
      <c r="K70" s="23">
        <f t="shared" si="23"/>
        <v>-0.94378895211275582</v>
      </c>
      <c r="L70" s="23">
        <f t="shared" si="23"/>
        <v>-0.94226295488155898</v>
      </c>
      <c r="M70" s="23">
        <f t="shared" si="23"/>
        <v>-0.94353985164476495</v>
      </c>
      <c r="N70" s="23">
        <f t="shared" si="23"/>
        <v>-0.94733420564400728</v>
      </c>
      <c r="O70" s="23">
        <f t="shared" si="23"/>
        <v>-0.95929398567573931</v>
      </c>
      <c r="P70" s="23">
        <f t="shared" si="23"/>
        <v>-0.97623940722780445</v>
      </c>
      <c r="Q70" s="23">
        <f t="shared" si="23"/>
        <v>-0.98239002811836651</v>
      </c>
      <c r="R70" s="23">
        <f t="shared" si="23"/>
        <v>-0.99343575637829884</v>
      </c>
      <c r="S70" s="23">
        <f t="shared" si="23"/>
        <v>-1.0087372542350694</v>
      </c>
      <c r="T70" s="23">
        <f t="shared" si="23"/>
        <v>-1.0272826219052129</v>
      </c>
      <c r="U70" s="23">
        <f t="shared" si="23"/>
        <v>-1.04911294913523</v>
      </c>
      <c r="V70" s="23">
        <f t="shared" si="23"/>
        <v>-1.0742918644699258</v>
      </c>
      <c r="W70" s="23">
        <f t="shared" si="23"/>
        <v>-1.1026170289692574</v>
      </c>
    </row>
    <row r="71" spans="2:23" outlineLevel="1" x14ac:dyDescent="0.2">
      <c r="B71" s="63" t="s">
        <v>87</v>
      </c>
      <c r="C71" s="35"/>
      <c r="D71" s="35">
        <f>'Baseline NFPC'!D70</f>
        <v>2.4367934630120658E-6</v>
      </c>
      <c r="E71" s="35">
        <f>'Baseline NFPC'!E70</f>
        <v>3.1413113887879263E-8</v>
      </c>
      <c r="F71" s="35">
        <f>'Baseline NFPC'!F70</f>
        <v>-2.3517078417967241E-7</v>
      </c>
      <c r="G71" s="35">
        <f>'Baseline NFPC'!G70</f>
        <v>-9.0693892063065107E-7</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4" t="s">
        <v>88</v>
      </c>
      <c r="C72" s="36"/>
      <c r="D72" s="36">
        <f>'Input data'!D16</f>
        <v>0.97889780000000004</v>
      </c>
      <c r="E72" s="36">
        <f>'Input data'!E16</f>
        <v>1.865075</v>
      </c>
      <c r="F72" s="36">
        <f>'Input data'!F16</f>
        <v>0.94640139999999995</v>
      </c>
      <c r="G72" s="36">
        <f>'Input data'!G16</f>
        <v>2.7174999999999998</v>
      </c>
      <c r="H72" s="36">
        <f>'Input data'!H16</f>
        <v>3.073</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3" t="s">
        <v>89</v>
      </c>
      <c r="C73" s="23"/>
      <c r="D73" s="23">
        <f t="shared" ref="D73:W73" si="24">D15</f>
        <v>0.97889720000000002</v>
      </c>
      <c r="E73" s="23">
        <f t="shared" si="24"/>
        <v>1.865075</v>
      </c>
      <c r="F73" s="23">
        <f t="shared" si="24"/>
        <v>0.94640000000000002</v>
      </c>
      <c r="G73" s="23">
        <f t="shared" si="24"/>
        <v>2.7175029999999998</v>
      </c>
      <c r="H73" s="23">
        <f t="shared" si="24"/>
        <v>3.073</v>
      </c>
      <c r="I73" s="23">
        <f t="shared" si="24"/>
        <v>0</v>
      </c>
      <c r="J73" s="23">
        <f t="shared" si="24"/>
        <v>0</v>
      </c>
      <c r="K73" s="23">
        <f t="shared" si="24"/>
        <v>0</v>
      </c>
      <c r="L73" s="23">
        <f t="shared" si="24"/>
        <v>0</v>
      </c>
      <c r="M73" s="23">
        <f t="shared" si="24"/>
        <v>0</v>
      </c>
      <c r="N73" s="23">
        <f t="shared" si="24"/>
        <v>0</v>
      </c>
      <c r="O73" s="23">
        <f t="shared" si="24"/>
        <v>0</v>
      </c>
      <c r="P73" s="23">
        <f t="shared" si="24"/>
        <v>0</v>
      </c>
      <c r="Q73" s="23">
        <f t="shared" si="24"/>
        <v>0</v>
      </c>
      <c r="R73" s="23">
        <f t="shared" si="24"/>
        <v>0</v>
      </c>
      <c r="S73" s="23">
        <f t="shared" si="24"/>
        <v>0</v>
      </c>
      <c r="T73" s="23">
        <f t="shared" si="24"/>
        <v>0</v>
      </c>
      <c r="U73" s="23">
        <f t="shared" si="24"/>
        <v>0</v>
      </c>
      <c r="V73" s="23">
        <f t="shared" si="24"/>
        <v>0</v>
      </c>
      <c r="W73" s="23">
        <f t="shared" si="24"/>
        <v>0</v>
      </c>
    </row>
    <row r="74" spans="2:23" outlineLevel="1" x14ac:dyDescent="0.2">
      <c r="B74" s="69" t="s">
        <v>90</v>
      </c>
      <c r="C74" s="35"/>
      <c r="D74" s="35">
        <f>+D72-D73</f>
        <v>6.000000000172534E-7</v>
      </c>
      <c r="E74" s="35">
        <f t="shared" ref="E74:W74" si="25">+E72-E73</f>
        <v>0</v>
      </c>
      <c r="F74" s="35">
        <f t="shared" si="25"/>
        <v>1.3999999999292356E-6</v>
      </c>
      <c r="G74" s="35">
        <f t="shared" si="25"/>
        <v>-2.9999999999752447E-6</v>
      </c>
      <c r="H74" s="35">
        <f t="shared" si="25"/>
        <v>0</v>
      </c>
      <c r="I74" s="35">
        <f t="shared" si="25"/>
        <v>0</v>
      </c>
      <c r="J74" s="35">
        <f t="shared" si="25"/>
        <v>0</v>
      </c>
      <c r="K74" s="35">
        <f t="shared" si="25"/>
        <v>0</v>
      </c>
      <c r="L74" s="35">
        <f t="shared" si="25"/>
        <v>0</v>
      </c>
      <c r="M74" s="35">
        <f t="shared" si="25"/>
        <v>0</v>
      </c>
      <c r="N74" s="35">
        <f t="shared" si="25"/>
        <v>0</v>
      </c>
      <c r="O74" s="35">
        <f t="shared" si="25"/>
        <v>0</v>
      </c>
      <c r="P74" s="35">
        <f t="shared" si="25"/>
        <v>0</v>
      </c>
      <c r="Q74" s="35">
        <f t="shared" si="25"/>
        <v>0</v>
      </c>
      <c r="R74" s="35">
        <f t="shared" si="25"/>
        <v>0</v>
      </c>
      <c r="S74" s="35">
        <f t="shared" si="25"/>
        <v>0</v>
      </c>
      <c r="T74" s="35">
        <f t="shared" si="25"/>
        <v>0</v>
      </c>
      <c r="U74" s="35">
        <f t="shared" si="25"/>
        <v>0</v>
      </c>
      <c r="V74" s="35">
        <f t="shared" si="25"/>
        <v>0</v>
      </c>
      <c r="W74" s="35">
        <f t="shared" si="25"/>
        <v>0</v>
      </c>
    </row>
    <row r="75" spans="2:23" ht="10.5" customHeight="1" outlineLevel="1" x14ac:dyDescent="0.2"/>
    <row r="76" spans="2:23" ht="10.5" customHeight="1" outlineLevel="1" x14ac:dyDescent="0.2">
      <c r="B76" s="70" t="s">
        <v>91</v>
      </c>
    </row>
    <row r="77" spans="2:23" x14ac:dyDescent="0.2">
      <c r="B77" s="61" t="s">
        <v>19</v>
      </c>
      <c r="C77" s="61"/>
      <c r="D77" s="62">
        <f>D59-D68</f>
        <v>-0.70653611613731959</v>
      </c>
      <c r="E77" s="62">
        <f t="shared" ref="E77:W77" si="26">E59-E68</f>
        <v>-0.69003439322329896</v>
      </c>
      <c r="F77" s="62">
        <f t="shared" si="26"/>
        <v>-2.0349233950924699</v>
      </c>
      <c r="G77" s="62">
        <f>G59-G68</f>
        <v>-1.9859276110903874</v>
      </c>
      <c r="H77" s="62">
        <f t="shared" si="26"/>
        <v>-1.7645895662243023</v>
      </c>
      <c r="I77" s="62">
        <f t="shared" si="26"/>
        <v>-1.5833611199957041</v>
      </c>
      <c r="J77" s="62">
        <f t="shared" si="26"/>
        <v>-1.327923444819991</v>
      </c>
      <c r="K77" s="62">
        <f t="shared" si="26"/>
        <v>-1.3950008523646014</v>
      </c>
      <c r="L77" s="62">
        <f t="shared" si="26"/>
        <v>-1.4722029239381724</v>
      </c>
      <c r="M77" s="62">
        <f t="shared" si="26"/>
        <v>-1.5618979617209281</v>
      </c>
      <c r="N77" s="62">
        <f t="shared" si="26"/>
        <v>-1.783639082820403</v>
      </c>
      <c r="O77" s="62">
        <f t="shared" si="26"/>
        <v>-2.0113373014748914</v>
      </c>
      <c r="P77" s="62">
        <f t="shared" si="26"/>
        <v>-2.220592152685148</v>
      </c>
      <c r="Q77" s="62">
        <f t="shared" si="26"/>
        <v>-2.4377644104385716</v>
      </c>
      <c r="R77" s="62">
        <f t="shared" si="26"/>
        <v>-2.6390059608310823</v>
      </c>
      <c r="S77" s="62">
        <f t="shared" si="26"/>
        <v>-2.8055706693441476</v>
      </c>
      <c r="T77" s="62">
        <f t="shared" si="26"/>
        <v>-2.971947876861003</v>
      </c>
      <c r="U77" s="62">
        <f t="shared" si="26"/>
        <v>-3.1424367366374781</v>
      </c>
      <c r="V77" s="62">
        <f t="shared" si="26"/>
        <v>-3.3023475815512708</v>
      </c>
      <c r="W77" s="62">
        <f t="shared" si="26"/>
        <v>-3.4812891498801033</v>
      </c>
    </row>
    <row r="78" spans="2:23" x14ac:dyDescent="0.2">
      <c r="B78" s="15" t="s">
        <v>20</v>
      </c>
      <c r="D78" s="23">
        <f>D60-D68-D64-D65-D66</f>
        <v>-1.2253886489758579</v>
      </c>
      <c r="E78" s="23">
        <f t="shared" ref="E78:W78" si="27">E60-E68-E64-E65-E66</f>
        <v>0.11684817669930103</v>
      </c>
      <c r="F78" s="23">
        <f t="shared" si="27"/>
        <v>-1.151721233353743</v>
      </c>
      <c r="G78" s="23">
        <f t="shared" si="27"/>
        <v>-1.1306580173033454</v>
      </c>
      <c r="H78" s="23">
        <f t="shared" si="27"/>
        <v>-1.1727121465840675</v>
      </c>
      <c r="I78" s="23">
        <f t="shared" si="27"/>
        <v>-1.1205644000253794</v>
      </c>
      <c r="J78" s="23">
        <f t="shared" si="27"/>
        <v>-0.97290291686381658</v>
      </c>
      <c r="K78" s="23">
        <f t="shared" si="27"/>
        <v>-1.1583205003938155</v>
      </c>
      <c r="L78" s="23">
        <f t="shared" si="27"/>
        <v>-1.3538627479527838</v>
      </c>
      <c r="M78" s="23">
        <f t="shared" si="27"/>
        <v>-1.5618979617209281</v>
      </c>
      <c r="N78" s="23">
        <f t="shared" si="27"/>
        <v>-1.7836394756361305</v>
      </c>
      <c r="O78" s="23">
        <f t="shared" si="27"/>
        <v>-2.0113388727777046</v>
      </c>
      <c r="P78" s="23">
        <f t="shared" si="27"/>
        <v>-2.2205933313542716</v>
      </c>
      <c r="Q78" s="23">
        <f t="shared" si="27"/>
        <v>-2.4377651962541815</v>
      </c>
      <c r="R78" s="23">
        <f t="shared" si="27"/>
        <v>-2.6390067466466922</v>
      </c>
      <c r="S78" s="23">
        <f t="shared" si="27"/>
        <v>-2.8055710618658525</v>
      </c>
      <c r="T78" s="23">
        <f t="shared" si="27"/>
        <v>-2.9719490565885192</v>
      </c>
      <c r="U78" s="23">
        <f t="shared" si="27"/>
        <v>-3.1424367344698223</v>
      </c>
      <c r="V78" s="23">
        <f t="shared" si="27"/>
        <v>-3.3023475793836155</v>
      </c>
      <c r="W78" s="23">
        <f t="shared" si="27"/>
        <v>-3.4812891477124523</v>
      </c>
    </row>
    <row r="79" spans="2:23" x14ac:dyDescent="0.2">
      <c r="B79" s="24" t="s">
        <v>92</v>
      </c>
      <c r="C79" s="24"/>
      <c r="D79" s="238">
        <f>'Input data'!D45</f>
        <v>18.105102814039316</v>
      </c>
      <c r="E79" s="238">
        <f>'Input data'!E45</f>
        <v>12.078211293552688</v>
      </c>
      <c r="F79" s="238">
        <f>'Input data'!F45</f>
        <v>10.458084915574926</v>
      </c>
      <c r="G79" s="35">
        <f>'Input data'!G33+G42-(G$12-F$12)/'Input data'!$C$64*100</f>
        <v>5.5626676184307895</v>
      </c>
      <c r="H79" s="35">
        <f>'Input data'!H33+H42-(H$12-G$12)/'Input data'!$C$64*100</f>
        <v>3.9139306184307889</v>
      </c>
      <c r="I79" s="35">
        <f>'Input data'!I33+I42-(I$12-H$12)/'Input data'!$C$64*100</f>
        <v>3.9408942434307894</v>
      </c>
      <c r="J79" s="35">
        <f>'Input data'!J33+J42-(J$12-I$12)/'Input data'!$C$64*100</f>
        <v>3.6240838684307901</v>
      </c>
      <c r="K79" s="35">
        <f>'Input data'!K33+K42-(K$12-J$12)/'Input data'!$C$64*100</f>
        <v>4.048594875</v>
      </c>
      <c r="L79" s="35">
        <f>'Input data'!L33+L42-(L$12-K$12)/'Input data'!$C$64*100</f>
        <v>3.9565505000000001</v>
      </c>
      <c r="M79" s="35">
        <f>'Input data'!M33+M42-(M$12-L$12)/'Input data'!$C$64*100</f>
        <v>3.9205221249999997</v>
      </c>
      <c r="N79" s="35">
        <f>'Input data'!N33+N42-(N$12-M$12)/'Input data'!$C$64*100</f>
        <v>3.8875247499999999</v>
      </c>
      <c r="O79" s="35">
        <f>'Input data'!O33+O42-(O$12-N$12)/'Input data'!$C$64*100</f>
        <v>3.9024963750000001</v>
      </c>
      <c r="P79" s="35">
        <f>'Input data'!P33+P42-(P$12-O$12)/'Input data'!$C$64*100</f>
        <v>3.971441</v>
      </c>
      <c r="Q79" s="35">
        <f>'Input data'!Q33+Q42-(Q$12-P$12)/'Input data'!$C$64*100</f>
        <v>3.8970770000000003</v>
      </c>
      <c r="R79" s="35">
        <f>'Input data'!R33+R42-(R$12-Q$12)/'Input data'!$C$64*100</f>
        <v>3.8227139999999999</v>
      </c>
      <c r="S79" s="35">
        <f>'Input data'!S33+S42-(S$12-R$12)/'Input data'!$C$64*100</f>
        <v>3.7483499999999998</v>
      </c>
      <c r="T79" s="35">
        <f>'Input data'!T33+T42-(T$12-S$12)/'Input data'!$C$64*100</f>
        <v>3.6512040000000003</v>
      </c>
      <c r="U79" s="35">
        <f>'Input data'!U33+U42-(U$12-T$12)/'Input data'!$C$64*100</f>
        <v>3.5405199999999999</v>
      </c>
      <c r="V79" s="35">
        <f>'Input data'!V33+V42-(V$12-U$12)/'Input data'!$C$64*100</f>
        <v>3.4123700000000001</v>
      </c>
      <c r="W79" s="35">
        <f>'Input data'!W33+W42-(W$12-V$12)/'Input data'!$C$64*100</f>
        <v>3.323477</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89" t="s">
        <v>112</v>
      </c>
      <c r="C81" s="37"/>
      <c r="D81" s="153">
        <f ca="1">AVERAGE(OFFSET($G$79,0,0,1,'Criteria results'!F5))</f>
        <v>4.2603940871807895</v>
      </c>
      <c r="E81" s="23"/>
      <c r="F81" s="23"/>
      <c r="G81" s="23"/>
      <c r="H81" s="23"/>
      <c r="I81" s="25"/>
      <c r="J81" s="25"/>
      <c r="K81" s="25"/>
      <c r="L81" s="25"/>
      <c r="M81" s="23"/>
      <c r="N81" s="23"/>
      <c r="O81" s="23"/>
      <c r="P81" s="23"/>
      <c r="Q81" s="23"/>
      <c r="R81" s="23"/>
      <c r="S81" s="23"/>
      <c r="T81" s="23"/>
      <c r="U81" s="23"/>
      <c r="V81" s="23"/>
      <c r="W81" s="23"/>
    </row>
    <row r="82" spans="2:23" x14ac:dyDescent="0.2">
      <c r="B82" s="67"/>
      <c r="C82" s="61"/>
      <c r="D82" s="275"/>
      <c r="E82" s="23"/>
      <c r="F82" s="23"/>
      <c r="G82" s="23"/>
      <c r="H82" s="23"/>
      <c r="I82" s="25"/>
      <c r="J82" s="25"/>
      <c r="K82" s="25"/>
      <c r="L82" s="25"/>
      <c r="M82" s="23"/>
      <c r="N82" s="23"/>
      <c r="O82" s="23"/>
      <c r="P82" s="23"/>
      <c r="Q82" s="23"/>
      <c r="R82" s="23"/>
      <c r="S82" s="23"/>
      <c r="T82" s="23"/>
      <c r="U82" s="23"/>
      <c r="V82" s="23"/>
      <c r="W82" s="23"/>
    </row>
    <row r="83" spans="2:23" x14ac:dyDescent="0.2">
      <c r="B83" s="37" t="s">
        <v>145</v>
      </c>
      <c r="C83" s="37"/>
      <c r="D83" s="37"/>
      <c r="E83" s="37"/>
      <c r="F83" s="37"/>
      <c r="G83" s="183"/>
      <c r="H83" s="183"/>
      <c r="I83" s="183"/>
      <c r="J83" s="183"/>
      <c r="K83" s="183">
        <f t="shared" ref="K83:W83" si="28">IF(K57&lt;J57,0,1)</f>
        <v>0</v>
      </c>
      <c r="L83" s="183">
        <f t="shared" si="28"/>
        <v>0</v>
      </c>
      <c r="M83" s="183">
        <f t="shared" si="28"/>
        <v>0</v>
      </c>
      <c r="N83" s="183">
        <f t="shared" si="28"/>
        <v>1</v>
      </c>
      <c r="O83" s="183">
        <f t="shared" si="28"/>
        <v>1</v>
      </c>
      <c r="P83" s="183">
        <f t="shared" si="28"/>
        <v>1</v>
      </c>
      <c r="Q83" s="183">
        <f t="shared" si="28"/>
        <v>1</v>
      </c>
      <c r="R83" s="183">
        <f t="shared" si="28"/>
        <v>1</v>
      </c>
      <c r="S83" s="183">
        <f t="shared" si="28"/>
        <v>1</v>
      </c>
      <c r="T83" s="183">
        <f t="shared" si="28"/>
        <v>1</v>
      </c>
      <c r="U83" s="62">
        <f t="shared" si="28"/>
        <v>1</v>
      </c>
      <c r="V83" s="62">
        <f t="shared" si="28"/>
        <v>1</v>
      </c>
      <c r="W83" s="62">
        <f t="shared" si="28"/>
        <v>1</v>
      </c>
    </row>
    <row r="84" spans="2:23" x14ac:dyDescent="0.2">
      <c r="B84" s="61"/>
      <c r="C84" s="61"/>
      <c r="D84" s="62"/>
      <c r="E84" s="23"/>
      <c r="F84" s="23"/>
      <c r="G84" s="23"/>
      <c r="H84" s="23"/>
      <c r="I84" s="23"/>
      <c r="J84" s="23"/>
      <c r="K84" s="23"/>
      <c r="L84" s="23"/>
      <c r="M84" s="23"/>
      <c r="N84" s="23"/>
      <c r="O84" s="23"/>
      <c r="P84" s="23"/>
      <c r="Q84" s="23"/>
      <c r="R84" s="23"/>
      <c r="S84" s="23"/>
      <c r="T84" s="23"/>
      <c r="U84" s="23"/>
      <c r="V84" s="23"/>
      <c r="W84" s="23"/>
    </row>
    <row r="85" spans="2:23" s="71" customFormat="1" ht="12.75" outlineLevel="1" x14ac:dyDescent="0.2">
      <c r="B85" s="72" t="s">
        <v>93</v>
      </c>
      <c r="C85" s="73"/>
      <c r="E85" s="74"/>
      <c r="F85" s="73"/>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94</v>
      </c>
      <c r="D87" s="18"/>
      <c r="E87" s="18"/>
      <c r="F87" s="18">
        <f t="shared" ref="F87:W87" si="29">IF((F92-E92*F43/((1+F24/100)*(1+F42/100)))&gt;0,1,0)</f>
        <v>1</v>
      </c>
      <c r="G87" s="18">
        <f t="shared" si="29"/>
        <v>1</v>
      </c>
      <c r="H87" s="18">
        <f t="shared" si="29"/>
        <v>1</v>
      </c>
      <c r="I87" s="18">
        <f t="shared" si="29"/>
        <v>1</v>
      </c>
      <c r="J87" s="18">
        <f t="shared" si="29"/>
        <v>1</v>
      </c>
      <c r="K87" s="18">
        <f t="shared" si="29"/>
        <v>1</v>
      </c>
      <c r="L87" s="18">
        <f t="shared" si="29"/>
        <v>1</v>
      </c>
      <c r="M87" s="18">
        <f t="shared" si="29"/>
        <v>1</v>
      </c>
      <c r="N87" s="18">
        <f t="shared" si="29"/>
        <v>1</v>
      </c>
      <c r="O87" s="18">
        <f t="shared" si="29"/>
        <v>1</v>
      </c>
      <c r="P87" s="18">
        <f t="shared" si="29"/>
        <v>1</v>
      </c>
      <c r="Q87" s="18">
        <f t="shared" si="29"/>
        <v>1</v>
      </c>
      <c r="R87" s="18">
        <f t="shared" si="29"/>
        <v>1</v>
      </c>
      <c r="S87" s="18">
        <f t="shared" si="29"/>
        <v>1</v>
      </c>
      <c r="T87" s="18">
        <f t="shared" si="29"/>
        <v>1</v>
      </c>
      <c r="U87" s="18">
        <f t="shared" si="29"/>
        <v>1</v>
      </c>
      <c r="V87" s="18">
        <f t="shared" si="29"/>
        <v>1</v>
      </c>
      <c r="W87" s="18">
        <f t="shared" si="29"/>
        <v>1</v>
      </c>
    </row>
    <row r="88" spans="2:23" x14ac:dyDescent="0.2">
      <c r="B88" s="15" t="s">
        <v>95</v>
      </c>
      <c r="D88" s="18"/>
      <c r="E88" s="18"/>
      <c r="F88" s="18">
        <f t="shared" ref="F88:W88" si="30">IF(AND(F87=0,ABS(F92-E92*F43/((1+F24/100)*(1+F42/100)))&lt;((E98*E92*F43/((1+F24/100)*(1+F42/100))+(F39*E92*E99*F43/((1+F24/100)*(1+F42/100)))))),1,0)</f>
        <v>0</v>
      </c>
      <c r="G88" s="18">
        <f t="shared" si="30"/>
        <v>0</v>
      </c>
      <c r="H88" s="18">
        <f t="shared" si="30"/>
        <v>0</v>
      </c>
      <c r="I88" s="18">
        <f t="shared" si="30"/>
        <v>0</v>
      </c>
      <c r="J88" s="18">
        <f t="shared" si="30"/>
        <v>0</v>
      </c>
      <c r="K88" s="18">
        <f t="shared" si="30"/>
        <v>0</v>
      </c>
      <c r="L88" s="18">
        <f t="shared" si="30"/>
        <v>0</v>
      </c>
      <c r="M88" s="18">
        <f t="shared" si="30"/>
        <v>0</v>
      </c>
      <c r="N88" s="18">
        <f t="shared" si="30"/>
        <v>0</v>
      </c>
      <c r="O88" s="18">
        <f t="shared" si="30"/>
        <v>0</v>
      </c>
      <c r="P88" s="18">
        <f t="shared" si="30"/>
        <v>0</v>
      </c>
      <c r="Q88" s="18">
        <f t="shared" si="30"/>
        <v>0</v>
      </c>
      <c r="R88" s="18">
        <f t="shared" si="30"/>
        <v>0</v>
      </c>
      <c r="S88" s="18">
        <f t="shared" si="30"/>
        <v>0</v>
      </c>
      <c r="T88" s="18">
        <f t="shared" si="30"/>
        <v>0</v>
      </c>
      <c r="U88" s="18">
        <f t="shared" si="30"/>
        <v>0</v>
      </c>
      <c r="V88" s="18">
        <f t="shared" si="30"/>
        <v>0</v>
      </c>
      <c r="W88" s="18">
        <f t="shared" si="30"/>
        <v>0</v>
      </c>
    </row>
    <row r="90" spans="2:23" x14ac:dyDescent="0.2">
      <c r="H90" s="27"/>
      <c r="I90" s="27"/>
      <c r="J90" s="27"/>
      <c r="K90" s="27"/>
      <c r="L90" s="27"/>
      <c r="M90" s="27"/>
      <c r="N90" s="27"/>
      <c r="O90" s="27"/>
      <c r="P90" s="27"/>
      <c r="Q90" s="27"/>
      <c r="R90" s="27"/>
      <c r="S90" s="27"/>
      <c r="T90" s="27"/>
    </row>
    <row r="91" spans="2:23" x14ac:dyDescent="0.2">
      <c r="B91" s="37"/>
      <c r="C91" s="66">
        <v>2021</v>
      </c>
      <c r="D91" s="66">
        <v>2022</v>
      </c>
      <c r="E91" s="66">
        <v>2023</v>
      </c>
      <c r="F91" s="66">
        <v>2024</v>
      </c>
      <c r="G91" s="66">
        <v>2025</v>
      </c>
      <c r="H91" s="66">
        <v>2026</v>
      </c>
      <c r="I91" s="66">
        <v>2027</v>
      </c>
      <c r="J91" s="66">
        <v>2028</v>
      </c>
      <c r="K91" s="66">
        <v>2029</v>
      </c>
      <c r="L91" s="66">
        <v>2030</v>
      </c>
      <c r="M91" s="66">
        <v>2031</v>
      </c>
      <c r="N91" s="66">
        <v>2032</v>
      </c>
      <c r="O91" s="66">
        <v>2033</v>
      </c>
      <c r="P91" s="66">
        <v>2034</v>
      </c>
      <c r="Q91" s="66">
        <v>2035</v>
      </c>
      <c r="R91" s="66">
        <v>2036</v>
      </c>
      <c r="S91" s="66">
        <v>2037</v>
      </c>
      <c r="T91" s="66">
        <v>2038</v>
      </c>
      <c r="U91" s="66">
        <v>2039</v>
      </c>
      <c r="V91" s="66">
        <v>2040</v>
      </c>
      <c r="W91" s="66">
        <v>2041</v>
      </c>
    </row>
    <row r="92" spans="2:23" x14ac:dyDescent="0.2">
      <c r="B92" s="83" t="s">
        <v>73</v>
      </c>
      <c r="C92" s="87">
        <f>C57</f>
        <v>43.287930000000003</v>
      </c>
      <c r="D92" s="87">
        <f>D57</f>
        <v>38.058251267161467</v>
      </c>
      <c r="E92" s="87">
        <f>E57</f>
        <v>37.344895037084065</v>
      </c>
      <c r="F92" s="87">
        <f>F57</f>
        <v>38.25865969882279</v>
      </c>
      <c r="G92" s="87">
        <f>G57</f>
        <v>40.74877946072607</v>
      </c>
      <c r="H92" s="87">
        <f>G92*(1+H106/100)*H43-H60-H61+H62+H63+H64+H65+H66+H73</f>
        <v>43.648668912354282</v>
      </c>
      <c r="I92" s="87">
        <f t="shared" ref="I92:W92" si="31">H92*(1+I106/100)*I43-I60-I61+I62+I63+I64+I65+I66+I73</f>
        <v>43.220346968472079</v>
      </c>
      <c r="J92" s="87">
        <f t="shared" si="31"/>
        <v>42.742241902433307</v>
      </c>
      <c r="K92" s="87">
        <f t="shared" si="31"/>
        <v>42.335642472219149</v>
      </c>
      <c r="L92" s="87">
        <f t="shared" si="31"/>
        <v>42.060487915245872</v>
      </c>
      <c r="M92" s="87">
        <f t="shared" si="31"/>
        <v>41.901081795148507</v>
      </c>
      <c r="N92" s="87">
        <f t="shared" si="31"/>
        <v>42.102626706619006</v>
      </c>
      <c r="O92" s="87">
        <f t="shared" si="31"/>
        <v>42.518341842453516</v>
      </c>
      <c r="P92" s="87">
        <f t="shared" si="31"/>
        <v>43.099861758809325</v>
      </c>
      <c r="Q92" s="87">
        <f t="shared" si="31"/>
        <v>43.906427392589912</v>
      </c>
      <c r="R92" s="87">
        <f t="shared" si="31"/>
        <v>44.914602509297936</v>
      </c>
      <c r="S92" s="87">
        <f t="shared" si="31"/>
        <v>46.083537968625073</v>
      </c>
      <c r="T92" s="87">
        <f t="shared" si="31"/>
        <v>47.418746060084615</v>
      </c>
      <c r="U92" s="87">
        <f t="shared" si="31"/>
        <v>48.926936161571305</v>
      </c>
      <c r="V92" s="87">
        <f t="shared" si="31"/>
        <v>50.602820349699115</v>
      </c>
      <c r="W92" s="87">
        <f t="shared" si="31"/>
        <v>52.44486296323754</v>
      </c>
    </row>
    <row r="93" spans="2:23" x14ac:dyDescent="0.2">
      <c r="B93" s="15" t="s">
        <v>96</v>
      </c>
      <c r="C93" s="23"/>
      <c r="D93" s="23"/>
      <c r="E93" s="180">
        <f>'Input data'!$C$66*E$92</f>
        <v>32.450765687484939</v>
      </c>
      <c r="F93" s="23">
        <f t="shared" ref="F93:W93" si="32">IF(F92=0,0,IF(F87=1,E92*F43/((1+F24/100)*(1+F42/100))-F94-F95,IF(AND(F87=0,F88=1),(1-E98-F39*E99)*E92*F43/((1+F24/100)*(1+F42/100)),F92)))</f>
        <v>31.704784592903835</v>
      </c>
      <c r="G93" s="23">
        <f t="shared" si="32"/>
        <v>32.442661568989706</v>
      </c>
      <c r="H93" s="23">
        <f t="shared" si="32"/>
        <v>34.980403673608876</v>
      </c>
      <c r="I93" s="23">
        <f t="shared" si="32"/>
        <v>37.581032048489419</v>
      </c>
      <c r="J93" s="23">
        <f t="shared" si="32"/>
        <v>37.440152283334193</v>
      </c>
      <c r="K93" s="23">
        <f t="shared" si="32"/>
        <v>37.071841512787174</v>
      </c>
      <c r="L93" s="23">
        <f t="shared" si="32"/>
        <v>36.812107419237002</v>
      </c>
      <c r="M93" s="23">
        <f t="shared" si="32"/>
        <v>36.645072282116075</v>
      </c>
      <c r="N93" s="23">
        <f t="shared" si="32"/>
        <v>36.685512726749252</v>
      </c>
      <c r="O93" s="23">
        <f t="shared" si="32"/>
        <v>36.915406869764439</v>
      </c>
      <c r="P93" s="23">
        <f t="shared" si="32"/>
        <v>37.31382805766669</v>
      </c>
      <c r="Q93" s="23">
        <f t="shared" si="32"/>
        <v>37.848745798188673</v>
      </c>
      <c r="R93" s="23">
        <f t="shared" si="32"/>
        <v>38.582041486766208</v>
      </c>
      <c r="S93" s="23">
        <f t="shared" si="32"/>
        <v>39.493564074980696</v>
      </c>
      <c r="T93" s="23">
        <f t="shared" si="32"/>
        <v>40.55690977555814</v>
      </c>
      <c r="U93" s="23">
        <f t="shared" si="32"/>
        <v>41.774273911352516</v>
      </c>
      <c r="V93" s="23">
        <f t="shared" si="32"/>
        <v>43.154225043040753</v>
      </c>
      <c r="W93" s="23">
        <f t="shared" si="32"/>
        <v>44.668354192180843</v>
      </c>
    </row>
    <row r="94" spans="2:23" x14ac:dyDescent="0.2">
      <c r="B94" s="82" t="s">
        <v>97</v>
      </c>
      <c r="C94" s="23"/>
      <c r="D94" s="23"/>
      <c r="E94" s="180">
        <f>'Input data'!$C$67*E$92</f>
        <v>2.3390136891588988</v>
      </c>
      <c r="F94" s="23">
        <f t="shared" ref="F94:W94" si="33">IF(F92=0,0,IF(F87=1,F39*E92*E99*F43/((1+F24/100)*(1+F42/100)),IF(AND(F87=0,F88=1),(F39*E92*E99*F43/((1+F24/100)*(1+F42/100)))*(1-ABS(F92-E92*F43/((1+F24/100)*(1+F42/100)))/((F39*E92*E99*F43/((1+F24/100)*(1+F42/100)))+(E98*E92*F43/((1+F24/100)*(1+F42/100))))),0)))</f>
        <v>3.5725505459972733</v>
      </c>
      <c r="G94" s="23">
        <f t="shared" si="33"/>
        <v>3.5947303883005857</v>
      </c>
      <c r="H94" s="23">
        <f t="shared" si="33"/>
        <v>3.8104061173500785</v>
      </c>
      <c r="I94" s="23">
        <f t="shared" si="33"/>
        <v>4.0235456318238407</v>
      </c>
      <c r="J94" s="23">
        <f t="shared" si="33"/>
        <v>3.9388141610844798</v>
      </c>
      <c r="K94" s="23">
        <f t="shared" si="33"/>
        <v>3.8313348834361203</v>
      </c>
      <c r="L94" s="23">
        <f t="shared" si="33"/>
        <v>3.7364698970559931</v>
      </c>
      <c r="M94" s="23">
        <f t="shared" si="33"/>
        <v>3.6520289688780787</v>
      </c>
      <c r="N94" s="23">
        <f t="shared" si="33"/>
        <v>3.5887236282472146</v>
      </c>
      <c r="O94" s="23">
        <f t="shared" si="33"/>
        <v>3.5436810284457594</v>
      </c>
      <c r="P94" s="23">
        <f t="shared" si="33"/>
        <v>3.5138938171336611</v>
      </c>
      <c r="Q94" s="23">
        <f t="shared" si="33"/>
        <v>3.5642677465571011</v>
      </c>
      <c r="R94" s="23">
        <f t="shared" si="33"/>
        <v>3.6333231965163275</v>
      </c>
      <c r="S94" s="23">
        <f t="shared" si="33"/>
        <v>3.7191625154399848</v>
      </c>
      <c r="T94" s="23">
        <f t="shared" si="33"/>
        <v>3.819299222854732</v>
      </c>
      <c r="U94" s="23">
        <f t="shared" si="33"/>
        <v>3.9339400552924317</v>
      </c>
      <c r="V94" s="23">
        <f t="shared" si="33"/>
        <v>4.0638919257382087</v>
      </c>
      <c r="W94" s="23">
        <f t="shared" si="33"/>
        <v>4.2064795221457025</v>
      </c>
    </row>
    <row r="95" spans="2:23" x14ac:dyDescent="0.2">
      <c r="B95" s="82" t="s">
        <v>98</v>
      </c>
      <c r="C95" s="23"/>
      <c r="D95" s="23"/>
      <c r="E95" s="180">
        <f>'Input data'!$C$68*E$92</f>
        <v>0</v>
      </c>
      <c r="F95" s="23">
        <f t="shared" ref="F95:W95" si="34">IF(F92=0,0,IF(F87=1,(1-E99)*E92*F43/((1+F24/100)*(1+F42/100)),IF(AND(F87=0,F88=1),(E98*E92*F43/((1+F24/100)*(1+F42/100)))*(1-ABS(F92-E92*F43/((1+F24/100)*(1+F42/100)))/((F39*E92*E99*F43/((1+F24/100)*(1+F42/100)))+(E98*E92*F43/((1+F24/100)*(1+F42/100))))),0)))</f>
        <v>0</v>
      </c>
      <c r="G95" s="23">
        <f t="shared" si="34"/>
        <v>7.9571947490387155E-3</v>
      </c>
      <c r="H95" s="23">
        <f t="shared" si="34"/>
        <v>2.0269555171028283E-2</v>
      </c>
      <c r="I95" s="23">
        <f t="shared" si="34"/>
        <v>3.2408168163107098E-2</v>
      </c>
      <c r="J95" s="23">
        <f t="shared" si="34"/>
        <v>3.5352013194648139E-2</v>
      </c>
      <c r="K95" s="23">
        <f t="shared" si="34"/>
        <v>3.7465223631265275E-2</v>
      </c>
      <c r="L95" s="23">
        <f t="shared" si="34"/>
        <v>3.9707675014706414E-2</v>
      </c>
      <c r="M95" s="23">
        <f t="shared" si="34"/>
        <v>4.2082582433422958E-2</v>
      </c>
      <c r="N95" s="23">
        <f t="shared" si="34"/>
        <v>4.4751268802134217E-2</v>
      </c>
      <c r="O95" s="23">
        <f t="shared" si="34"/>
        <v>4.79166427684279E-2</v>
      </c>
      <c r="P95" s="23">
        <f t="shared" si="34"/>
        <v>5.1547731323817625E-2</v>
      </c>
      <c r="Q95" s="23">
        <f t="shared" si="34"/>
        <v>5.5649437405563502E-2</v>
      </c>
      <c r="R95" s="23">
        <f t="shared" si="34"/>
        <v>6.0231865184324045E-2</v>
      </c>
      <c r="S95" s="23">
        <f t="shared" si="34"/>
        <v>6.5240708860244662E-2</v>
      </c>
      <c r="T95" s="23">
        <f t="shared" si="34"/>
        <v>7.0589184810735159E-2</v>
      </c>
      <c r="U95" s="23">
        <f t="shared" si="34"/>
        <v>7.6285458288883751E-2</v>
      </c>
      <c r="V95" s="23">
        <f t="shared" si="34"/>
        <v>8.2355799368886207E-2</v>
      </c>
      <c r="W95" s="23">
        <f t="shared" si="34"/>
        <v>8.874009903088971E-2</v>
      </c>
    </row>
    <row r="96" spans="2:23" x14ac:dyDescent="0.2">
      <c r="B96" s="82" t="s">
        <v>99</v>
      </c>
      <c r="C96" s="23"/>
      <c r="D96" s="23"/>
      <c r="E96" s="180">
        <f>'Input data'!$C$69*E$92</f>
        <v>2.5551166604400901</v>
      </c>
      <c r="F96" s="23">
        <f>IF(F92=0,0,IF(F87=1,'Input data'!$C$58*(F92-E92*F43/((1+F24/100)*(1+F42/100))),0))</f>
        <v>2.9728787655758793</v>
      </c>
      <c r="G96" s="23">
        <f>IF(G92=0,0,IF(G87=1,'Input data'!$C$58*(G92-F92*G43/((1+G24/100)*(1+G42/100))),0))</f>
        <v>4.690105960965262</v>
      </c>
      <c r="H96" s="23">
        <f>IF(H92=0,0,IF(H87=1,'Input data'!$C$58*(H92-G92*H43/((1+H24/100)*(1+H42/100))),0))</f>
        <v>4.8238851587421454</v>
      </c>
      <c r="I96" s="23">
        <f>IF(I92=0,0,IF(I87=1,'Input data'!$C$58*(I92-H92*I43/((1+I24/100)*(1+I42/100))),0))</f>
        <v>1.5788756162788717</v>
      </c>
      <c r="J96" s="23">
        <f>IF(J92=0,0,IF(J87=1,'Input data'!$C$58*(J92-I92*J43/((1+J24/100)*(1+J42/100))),0))</f>
        <v>1.3241615704931566</v>
      </c>
      <c r="K96" s="23">
        <f>IF(K92=0,0,IF(K87=1,'Input data'!$C$58*(K92-J92*K43/((1+K24/100)*(1+K42/100))),0))</f>
        <v>1.3910489544499254</v>
      </c>
      <c r="L96" s="23">
        <f>IF(L92=0,0,IF(L87=1,'Input data'!$C$58*(L92-K92*L43/((1+L24/100)*(1+L42/100))),0))</f>
        <v>1.4680323202749523</v>
      </c>
      <c r="M96" s="23">
        <f>IF(M92=0,0,IF(M87=1,'Input data'!$C$58*(M92-L92*M43/((1+M24/100)*(1+M42/100))),0))</f>
        <v>1.5574732609851714</v>
      </c>
      <c r="N96" s="23">
        <f>IF(N92=0,0,IF(N87=1,'Input data'!$C$58*(N92-M92*N43/((1+N24/100)*(1+N42/100))),0))</f>
        <v>1.7785862116626783</v>
      </c>
      <c r="O96" s="23">
        <f>IF(O92=0,0,IF(O87=1,'Input data'!$C$58*(O92-N92*O43/((1+O24/100)*(1+O42/100))),0))</f>
        <v>2.0056393840335405</v>
      </c>
      <c r="P96" s="23">
        <f>IF(P92=0,0,IF(P87=1,'Input data'!$C$58*(P92-O92*P43/((1+P24/100)*(1+P42/100))),0))</f>
        <v>2.214301437175815</v>
      </c>
      <c r="Q96" s="23">
        <f>IF(Q92=0,0,IF(Q87=1,'Input data'!$C$58*(Q92-P92*Q43/((1+Q24/100)*(1+Q42/100))),0))</f>
        <v>2.4308584676402436</v>
      </c>
      <c r="R96" s="23">
        <f>IF(R92=0,0,IF(R87=1,'Input data'!$C$58*(R92-Q92*R43/((1+R24/100)*(1+R42/100))),0))</f>
        <v>2.6315299208446392</v>
      </c>
      <c r="S96" s="23">
        <f>IF(S92=0,0,IF(S87=1,'Input data'!$C$58*(S92-R92*S43/((1+S24/100)*(1+S42/100))),0))</f>
        <v>2.7976227681949641</v>
      </c>
      <c r="T96" s="23">
        <f>IF(T92=0,0,IF(T87=1,'Input data'!$C$58*(T92-S92*T43/((1+T24/100)*(1+T42/100))),0))</f>
        <v>2.9635286457206491</v>
      </c>
      <c r="U96" s="23">
        <f>IF(U92=0,0,IF(U87=1,'Input data'!$C$58*(U92-T92*U43/((1+U24/100)*(1+U42/100))),0))</f>
        <v>3.1335345276062507</v>
      </c>
      <c r="V96" s="23">
        <f>IF(V92=0,0,IF(V87=1,'Input data'!$C$58*(V92-U92*V43/((1+V24/100)*(1+V42/100))),0))</f>
        <v>3.29299236108749</v>
      </c>
      <c r="W96" s="23">
        <f>IF(W92=0,0,IF(W87=1,'Input data'!$C$58*(W92-V92*W43/((1+W24/100)*(1+W42/100))),0))</f>
        <v>3.4714270058474095</v>
      </c>
    </row>
    <row r="97" spans="2:25" x14ac:dyDescent="0.2">
      <c r="B97" s="84" t="s">
        <v>100</v>
      </c>
      <c r="C97" s="35"/>
      <c r="D97" s="35"/>
      <c r="E97" s="181">
        <f>'Input data'!$C$70*E$92</f>
        <v>0</v>
      </c>
      <c r="F97" s="35">
        <f>IF(F92=0,0,IF(F87=1,'Input data'!$C$57*(F92-E92*F43/((1+F24/100)*(1+F42/100))),0))</f>
        <v>8.4457943458021312E-3</v>
      </c>
      <c r="G97" s="35">
        <f>IF(G92=0,0,IF(G87=1,'Input data'!$C$57*(G92-F92*G43/((1+G24/100)*(1+G42/100))),0))</f>
        <v>1.3324347721478669E-2</v>
      </c>
      <c r="H97" s="35">
        <f>IF(H92=0,0,IF(H87=1,'Input data'!$C$57*(H92-G92*H43/((1+H24/100)*(1+H42/100))),0))</f>
        <v>1.3704407482156827E-2</v>
      </c>
      <c r="I97" s="35">
        <f>IF(I92=0,0,IF(I87=1,'Input data'!$C$57*(I92-H92*I43/((1+I24/100)*(1+I42/100))),0))</f>
        <v>4.4855037168358407E-3</v>
      </c>
      <c r="J97" s="35">
        <f>IF(J92=0,0,IF(J87=1,'Input data'!$C$57*(J92-I92*J43/((1+J24/100)*(1+J42/100))),0))</f>
        <v>3.7618743268305419E-3</v>
      </c>
      <c r="K97" s="35">
        <f>IF(K92=0,0,IF(K87=1,'Input data'!$C$57*(K92-J92*K43/((1+K24/100)*(1+K42/100))),0))</f>
        <v>3.9518979146636445E-3</v>
      </c>
      <c r="L97" s="35">
        <f>IF(L92=0,0,IF(L87=1,'Input data'!$C$57*(L92-K92*L43/((1+L24/100)*(1+L42/100))),0))</f>
        <v>4.1706036632244616E-3</v>
      </c>
      <c r="M97" s="35">
        <f>IF(M92=0,0,IF(M87=1,'Input data'!$C$57*(M92-L92*M43/((1+M24/100)*(1+M42/100))),0))</f>
        <v>4.4247007357592245E-3</v>
      </c>
      <c r="N97" s="35">
        <f>IF(N92=0,0,IF(N87=1,'Input data'!$C$57*(N92-M92*N43/((1+N24/100)*(1+N42/100))),0))</f>
        <v>5.0528711577219124E-3</v>
      </c>
      <c r="O97" s="35">
        <f>IF(O92=0,0,IF(O87=1,'Input data'!$C$57*(O92-N92*O43/((1+O24/100)*(1+O42/100))),0))</f>
        <v>5.6979174413482126E-3</v>
      </c>
      <c r="P97" s="35">
        <f>IF(P92=0,0,IF(P87=1,'Input data'!$C$57*(P92-O92*P43/((1+P24/100)*(1+P42/100))),0))</f>
        <v>6.2907155093417811E-3</v>
      </c>
      <c r="Q97" s="35">
        <f>IF(Q92=0,0,IF(Q87=1,'Input data'!$C$57*(Q92-P92*Q43/((1+Q24/100)*(1+Q42/100))),0))</f>
        <v>6.90594279833144E-3</v>
      </c>
      <c r="R97" s="35">
        <f>IF(R92=0,0,IF(R87=1,'Input data'!$C$57*(R92-Q92*R43/((1+R24/100)*(1+R42/100))),0))</f>
        <v>7.476039986438361E-3</v>
      </c>
      <c r="S97" s="35">
        <f>IF(S92=0,0,IF(S87=1,'Input data'!$C$57*(S92-R92*S43/((1+S24/100)*(1+S42/100))),0))</f>
        <v>7.9479011491850413E-3</v>
      </c>
      <c r="T97" s="35">
        <f>IF(T92=0,0,IF(T87=1,'Input data'!$C$57*(T92-S92*T43/((1+T24/100)*(1+T42/100))),0))</f>
        <v>8.4192311403595531E-3</v>
      </c>
      <c r="U97" s="35">
        <f>IF(U92=0,0,IF(U87=1,'Input data'!$C$57*(U92-T92*U43/((1+U24/100)*(1+U42/100))),0))</f>
        <v>8.9022090312202914E-3</v>
      </c>
      <c r="V97" s="35">
        <f>IF(V92=0,0,IF(V87=1,'Input data'!$C$57*(V92-U92*V43/((1+V24/100)*(1+V42/100))),0))</f>
        <v>9.355220463776584E-3</v>
      </c>
      <c r="W97" s="35">
        <f>IF(W92=0,0,IF(W87=1,'Input data'!$C$57*(W92-V92*W43/((1+W24/100)*(1+W42/100))),0))</f>
        <v>9.8621440326953497E-3</v>
      </c>
    </row>
    <row r="98" spans="2:25" x14ac:dyDescent="0.2">
      <c r="B98" s="15" t="s">
        <v>51</v>
      </c>
      <c r="C98" s="25"/>
      <c r="D98" s="25"/>
      <c r="E98" s="185">
        <f>'Baseline NFPC'!E$93</f>
        <v>0</v>
      </c>
      <c r="F98" s="25">
        <f t="shared" ref="F98:W98" si="35">IF(F92&lt;&gt;0,(F95+F97)/(F93+F94+F95+F96+F97),0)</f>
        <v>2.2075510256471442E-4</v>
      </c>
      <c r="G98" s="25">
        <f t="shared" si="35"/>
        <v>5.2226208372765297E-4</v>
      </c>
      <c r="H98" s="25">
        <f t="shared" si="35"/>
        <v>7.7835048581674276E-4</v>
      </c>
      <c r="I98" s="25">
        <f t="shared" si="35"/>
        <v>8.5361813284043613E-4</v>
      </c>
      <c r="J98" s="25">
        <f t="shared" si="35"/>
        <v>9.1511080796283489E-4</v>
      </c>
      <c r="K98" s="25">
        <f t="shared" si="35"/>
        <v>9.7830383873604939E-4</v>
      </c>
      <c r="L98" s="25">
        <f t="shared" si="35"/>
        <v>1.0432184896748691E-3</v>
      </c>
      <c r="M98" s="25">
        <f t="shared" si="35"/>
        <v>1.1099303687802876E-3</v>
      </c>
      <c r="N98" s="25">
        <f t="shared" si="35"/>
        <v>1.1829223935813573E-3</v>
      </c>
      <c r="O98" s="25">
        <f t="shared" si="35"/>
        <v>1.260974861353678E-3</v>
      </c>
      <c r="P98" s="25">
        <f t="shared" si="35"/>
        <v>1.3419636275593763E-3</v>
      </c>
      <c r="Q98" s="25">
        <f t="shared" si="35"/>
        <v>1.424743116641105E-3</v>
      </c>
      <c r="R98" s="25">
        <f t="shared" si="35"/>
        <v>1.5074808945875885E-3</v>
      </c>
      <c r="S98" s="25">
        <f t="shared" si="35"/>
        <v>1.588172550016852E-3</v>
      </c>
      <c r="T98" s="25">
        <f t="shared" si="35"/>
        <v>1.6661852645994185E-3</v>
      </c>
      <c r="U98" s="25">
        <f>IF(U92&lt;&gt;0,(U95+U97)/(U93+U94+U95+U96+U97),0)</f>
        <v>1.7411200047104732E-3</v>
      </c>
      <c r="V98" s="25">
        <f t="shared" si="35"/>
        <v>1.8123697295699863E-3</v>
      </c>
      <c r="W98" s="23">
        <f t="shared" si="35"/>
        <v>1.8801125123103599E-3</v>
      </c>
    </row>
    <row r="99" spans="2:25" x14ac:dyDescent="0.2">
      <c r="B99" s="24" t="s">
        <v>52</v>
      </c>
      <c r="C99" s="85"/>
      <c r="D99" s="85"/>
      <c r="E99" s="186">
        <f>'Baseline NFPC'!E$94</f>
        <v>1</v>
      </c>
      <c r="F99" s="85">
        <f t="shared" ref="F99:W99" si="36">IF(F92&lt;&gt;0,(F93+F94+F96)/(F93+F94+F95+F96+F97),1)</f>
        <v>0.9997792448974353</v>
      </c>
      <c r="G99" s="85">
        <f t="shared" si="36"/>
        <v>0.99947773791627237</v>
      </c>
      <c r="H99" s="85">
        <f t="shared" si="36"/>
        <v>0.99922164951418324</v>
      </c>
      <c r="I99" s="85">
        <f t="shared" si="36"/>
        <v>0.99914638186715954</v>
      </c>
      <c r="J99" s="85">
        <f t="shared" si="36"/>
        <v>0.99908488919203708</v>
      </c>
      <c r="K99" s="85">
        <f t="shared" si="36"/>
        <v>0.99902169616126402</v>
      </c>
      <c r="L99" s="85">
        <f t="shared" si="36"/>
        <v>0.99895678151032519</v>
      </c>
      <c r="M99" s="85">
        <f t="shared" si="36"/>
        <v>0.99889006963121962</v>
      </c>
      <c r="N99" s="85">
        <f t="shared" si="36"/>
        <v>0.99881707760641858</v>
      </c>
      <c r="O99" s="85">
        <f t="shared" si="36"/>
        <v>0.99873902513864643</v>
      </c>
      <c r="P99" s="85">
        <f t="shared" si="36"/>
        <v>0.99865803637244066</v>
      </c>
      <c r="Q99" s="85">
        <f t="shared" si="36"/>
        <v>0.99857525688335891</v>
      </c>
      <c r="R99" s="85">
        <f t="shared" si="36"/>
        <v>0.99849251910541259</v>
      </c>
      <c r="S99" s="85">
        <f t="shared" si="36"/>
        <v>0.99841182744998314</v>
      </c>
      <c r="T99" s="85">
        <f t="shared" si="36"/>
        <v>0.99833381473540062</v>
      </c>
      <c r="U99" s="85">
        <f t="shared" si="36"/>
        <v>0.99825887999528951</v>
      </c>
      <c r="V99" s="85">
        <f t="shared" si="36"/>
        <v>0.99818763027043012</v>
      </c>
      <c r="W99" s="35">
        <f t="shared" si="36"/>
        <v>0.99811988748768976</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89" t="s">
        <v>101</v>
      </c>
      <c r="C101" s="91">
        <f>'Baseline NFPC'!C96</f>
        <v>1.1161000000000001</v>
      </c>
      <c r="D101" s="91">
        <f>'Baseline NFPC'!D96</f>
        <v>0.91907830000000001</v>
      </c>
      <c r="E101" s="91">
        <f>'Baseline NFPC'!E96</f>
        <v>1.699492</v>
      </c>
      <c r="F101" s="91">
        <f>'Baseline NFPC'!F96</f>
        <v>2.2164999999999999</v>
      </c>
      <c r="G101" s="91">
        <f>'Baseline NFPC'!G96</f>
        <v>2.5547230000000001</v>
      </c>
      <c r="H101" s="91">
        <f t="shared" ref="H101:W101" si="37">H103+H104</f>
        <v>2.8932796137143195</v>
      </c>
      <c r="I101" s="91">
        <f t="shared" si="37"/>
        <v>2.9559423549637596</v>
      </c>
      <c r="J101" s="91">
        <f>J103+J104</f>
        <v>3.0016280918303835</v>
      </c>
      <c r="K101" s="91">
        <f t="shared" si="37"/>
        <v>3.0514426520075948</v>
      </c>
      <c r="L101" s="91">
        <f t="shared" si="37"/>
        <v>3.1072545889112537</v>
      </c>
      <c r="M101" s="91">
        <f t="shared" si="37"/>
        <v>3.1684217186908108</v>
      </c>
      <c r="N101" s="91">
        <f t="shared" si="37"/>
        <v>3.234421180918706</v>
      </c>
      <c r="O101" s="91">
        <f t="shared" si="37"/>
        <v>3.3061296137632215</v>
      </c>
      <c r="P101" s="91">
        <f t="shared" si="37"/>
        <v>3.3829308710229453</v>
      </c>
      <c r="Q101" s="91">
        <f t="shared" si="37"/>
        <v>3.451469358609959</v>
      </c>
      <c r="R101" s="91">
        <f t="shared" si="37"/>
        <v>3.513205650318751</v>
      </c>
      <c r="S101" s="91">
        <f t="shared" si="37"/>
        <v>3.5683555819210486</v>
      </c>
      <c r="T101" s="91">
        <f t="shared" si="37"/>
        <v>3.6171754148881576</v>
      </c>
      <c r="U101" s="91">
        <f t="shared" si="37"/>
        <v>3.6602897389267355</v>
      </c>
      <c r="V101" s="91">
        <f t="shared" si="37"/>
        <v>3.6983245134953737</v>
      </c>
      <c r="W101" s="91">
        <f t="shared" si="37"/>
        <v>3.7318057188341536</v>
      </c>
    </row>
    <row r="102" spans="2:25" x14ac:dyDescent="0.2">
      <c r="B102" s="22" t="s">
        <v>102</v>
      </c>
      <c r="C102" s="23"/>
      <c r="D102" s="23"/>
      <c r="E102" s="23"/>
      <c r="F102" s="190">
        <f>((F36*E92)-(F38*(E95+E97)))/(E93+E94+E96)</f>
        <v>2.2164999406478545</v>
      </c>
      <c r="G102" s="190">
        <f>((G36*F92)-(G38*(F95+F97)))/(F93+F94+F96)</f>
        <v>2.5548308567171363</v>
      </c>
      <c r="H102" s="23">
        <f>IF(G92&gt;0,(G102*G93+
('Baseline NFPC'!H$97*(G93+G94+G96)-'Baseline NFPC'!G$97*G93)/(G94+G96)
*(G96+G94))/(G93+G94+G96),H37)</f>
        <v>2.8937486043366052</v>
      </c>
      <c r="I102" s="23">
        <f t="shared" ref="I102:W102" si="38">IF(H92&gt;0,(H102*H93+I37*(H96+H94))/(H93+H94+H96),I37)</f>
        <v>2.9566252331604663</v>
      </c>
      <c r="J102" s="23">
        <f t="shared" si="38"/>
        <v>3.0023447253589177</v>
      </c>
      <c r="K102" s="23">
        <f t="shared" si="38"/>
        <v>3.0521800712396132</v>
      </c>
      <c r="L102" s="23">
        <f t="shared" si="38"/>
        <v>3.1080158324001097</v>
      </c>
      <c r="M102" s="23">
        <f t="shared" si="38"/>
        <v>3.1692101677520315</v>
      </c>
      <c r="N102" s="23">
        <f t="shared" si="38"/>
        <v>3.2352406210006368</v>
      </c>
      <c r="O102" s="23">
        <f t="shared" si="38"/>
        <v>3.3069889997843691</v>
      </c>
      <c r="P102" s="23">
        <f t="shared" si="38"/>
        <v>3.3838385314861368</v>
      </c>
      <c r="Q102" s="23">
        <f t="shared" si="38"/>
        <v>3.4525721086439383</v>
      </c>
      <c r="R102" s="23">
        <f t="shared" si="38"/>
        <v>3.514511975876883</v>
      </c>
      <c r="S102" s="23">
        <f t="shared" si="38"/>
        <v>3.5698712722132036</v>
      </c>
      <c r="T102" s="23">
        <f t="shared" si="38"/>
        <v>3.6189028365596165</v>
      </c>
      <c r="U102" s="23">
        <f t="shared" si="38"/>
        <v>3.6622295235142586</v>
      </c>
      <c r="V102" s="23">
        <f t="shared" si="38"/>
        <v>3.7004759370251477</v>
      </c>
      <c r="W102" s="23">
        <f t="shared" si="38"/>
        <v>3.7341664154350322</v>
      </c>
    </row>
    <row r="103" spans="2:25" x14ac:dyDescent="0.2">
      <c r="B103" s="15" t="s">
        <v>103</v>
      </c>
      <c r="C103" s="23"/>
      <c r="D103" s="23"/>
      <c r="E103" s="23"/>
      <c r="F103" s="23">
        <f t="shared" ref="F103:W103" si="39">(F102*(E93+E94+E96)+F38*(E95+E97))/E92</f>
        <v>2.2164999999999999</v>
      </c>
      <c r="G103" s="23">
        <f t="shared" si="39"/>
        <v>2.5547230000000005</v>
      </c>
      <c r="H103" s="23">
        <f t="shared" si="39"/>
        <v>2.8932796137143195</v>
      </c>
      <c r="I103" s="23">
        <f t="shared" si="39"/>
        <v>2.9559423549637596</v>
      </c>
      <c r="J103" s="23">
        <f t="shared" si="39"/>
        <v>3.0016280918303835</v>
      </c>
      <c r="K103" s="23">
        <f t="shared" si="39"/>
        <v>3.0514426520075948</v>
      </c>
      <c r="L103" s="23">
        <f t="shared" si="39"/>
        <v>3.1072545889112537</v>
      </c>
      <c r="M103" s="23">
        <f t="shared" si="39"/>
        <v>3.1684217186908108</v>
      </c>
      <c r="N103" s="23">
        <f t="shared" si="39"/>
        <v>3.234421180918706</v>
      </c>
      <c r="O103" s="23">
        <f t="shared" si="39"/>
        <v>3.3061296137632215</v>
      </c>
      <c r="P103" s="23">
        <f t="shared" si="39"/>
        <v>3.3829308710229453</v>
      </c>
      <c r="Q103" s="23">
        <f t="shared" si="39"/>
        <v>3.451469358609959</v>
      </c>
      <c r="R103" s="23">
        <f t="shared" si="39"/>
        <v>3.513205650318751</v>
      </c>
      <c r="S103" s="23">
        <f t="shared" si="39"/>
        <v>3.5683555819210486</v>
      </c>
      <c r="T103" s="23">
        <f t="shared" si="39"/>
        <v>3.6171754148881576</v>
      </c>
      <c r="U103" s="23">
        <f t="shared" si="39"/>
        <v>3.6602897389267355</v>
      </c>
      <c r="V103" s="23">
        <f t="shared" si="39"/>
        <v>3.6983245134953737</v>
      </c>
      <c r="W103" s="23">
        <f t="shared" si="39"/>
        <v>3.7318057188341536</v>
      </c>
    </row>
    <row r="104" spans="2:25" x14ac:dyDescent="0.2">
      <c r="B104" s="24" t="s">
        <v>104</v>
      </c>
      <c r="C104" s="90"/>
      <c r="D104" s="90"/>
      <c r="E104" s="35"/>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89" t="s">
        <v>133</v>
      </c>
      <c r="C106" s="91">
        <f t="shared" ref="C106:W106" si="40">((1+C101/100)/((1+C24/100)*(1+C42/100))-1)*100</f>
        <v>-10.328304450846248</v>
      </c>
      <c r="D106" s="91">
        <f t="shared" si="40"/>
        <v>-15.202437346376829</v>
      </c>
      <c r="E106" s="91">
        <f t="shared" si="40"/>
        <v>-7.0345219296062078</v>
      </c>
      <c r="F106" s="91">
        <f t="shared" si="40"/>
        <v>-3.4426064487597552</v>
      </c>
      <c r="G106" s="91">
        <f t="shared" si="40"/>
        <v>-3.3781842728395794</v>
      </c>
      <c r="H106" s="91">
        <f t="shared" si="40"/>
        <v>-1.9995373574251962</v>
      </c>
      <c r="I106" s="91">
        <f t="shared" si="40"/>
        <v>-1.7890986903188133</v>
      </c>
      <c r="J106" s="91">
        <f t="shared" si="40"/>
        <v>-1.3024529729147805</v>
      </c>
      <c r="K106" s="91">
        <f t="shared" si="40"/>
        <v>-1.292211305728197</v>
      </c>
      <c r="L106" s="91">
        <f t="shared" si="40"/>
        <v>-1.1483849176912697</v>
      </c>
      <c r="M106" s="91">
        <f t="shared" si="40"/>
        <v>-1.053693483039031</v>
      </c>
      <c r="N106" s="91">
        <f t="shared" si="40"/>
        <v>-0.66348715546995507</v>
      </c>
      <c r="O106" s="91">
        <f t="shared" si="40"/>
        <v>-0.60900735398146111</v>
      </c>
      <c r="P106" s="91">
        <f t="shared" si="40"/>
        <v>-0.60245718406475302</v>
      </c>
      <c r="Q106" s="91">
        <f t="shared" si="40"/>
        <v>-0.46385434255585833</v>
      </c>
      <c r="R106" s="91">
        <f t="shared" si="40"/>
        <v>-0.33161932346364997</v>
      </c>
      <c r="S106" s="91">
        <f t="shared" si="40"/>
        <v>-0.20555330113862791</v>
      </c>
      <c r="T106" s="91">
        <f t="shared" si="40"/>
        <v>-6.2975045085966741E-2</v>
      </c>
      <c r="U106" s="91">
        <f t="shared" si="40"/>
        <v>8.7726274470290022E-2</v>
      </c>
      <c r="V106" s="91">
        <f t="shared" si="40"/>
        <v>0.2511123638611501</v>
      </c>
      <c r="W106" s="91">
        <f t="shared" si="40"/>
        <v>0.37147911928963051</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B108" s="334"/>
      <c r="C108" s="334"/>
      <c r="D108" s="334"/>
      <c r="E108" s="334"/>
      <c r="F108" s="335"/>
      <c r="G108" s="336"/>
      <c r="H108" s="336"/>
      <c r="I108" s="179"/>
      <c r="J108" s="179"/>
      <c r="K108" s="179"/>
      <c r="L108" s="179"/>
      <c r="M108" s="179"/>
      <c r="N108" s="179"/>
      <c r="O108" s="179"/>
      <c r="P108" s="179"/>
      <c r="Q108" s="179"/>
      <c r="R108" s="179"/>
      <c r="S108" s="179"/>
      <c r="T108" s="179"/>
      <c r="U108" s="23"/>
      <c r="V108" s="23"/>
      <c r="W108" s="23"/>
    </row>
    <row r="109" spans="2:25" x14ac:dyDescent="0.2">
      <c r="T109" s="47"/>
      <c r="U109" s="47"/>
      <c r="V109" s="47"/>
      <c r="W109" s="47"/>
      <c r="X109" s="47"/>
      <c r="Y109" s="47"/>
    </row>
    <row r="110" spans="2:25" s="14" customFormat="1" ht="12.75" outlineLevel="1" x14ac:dyDescent="0.2">
      <c r="B110" s="14" t="s">
        <v>105</v>
      </c>
      <c r="C110" s="88"/>
      <c r="D110" s="88"/>
      <c r="E110" s="88"/>
      <c r="F110" s="88"/>
      <c r="G110" s="88"/>
      <c r="H110" s="88"/>
      <c r="I110" s="88"/>
      <c r="J110" s="88"/>
      <c r="K110" s="88"/>
      <c r="L110" s="88"/>
      <c r="M110" s="88"/>
      <c r="N110" s="88"/>
      <c r="O110" s="88"/>
      <c r="P110" s="88"/>
      <c r="Q110" s="88"/>
      <c r="R110" s="88"/>
      <c r="S110" s="88"/>
      <c r="T110" s="88"/>
      <c r="U110" s="88"/>
      <c r="V110" s="88"/>
      <c r="W110" s="88"/>
    </row>
    <row r="111" spans="2:25" s="79" customFormat="1" ht="12.75" outlineLevel="1" x14ac:dyDescent="0.2">
      <c r="C111" s="98"/>
      <c r="D111" s="98"/>
      <c r="E111" s="98"/>
      <c r="F111" s="98"/>
      <c r="G111" s="98"/>
      <c r="H111" s="98"/>
      <c r="I111" s="98"/>
      <c r="J111" s="98"/>
      <c r="K111" s="98"/>
      <c r="L111" s="98"/>
      <c r="M111" s="98"/>
      <c r="N111" s="98"/>
      <c r="O111" s="98"/>
      <c r="P111" s="98"/>
      <c r="Q111" s="98"/>
      <c r="R111" s="98"/>
      <c r="S111" s="98"/>
      <c r="T111" s="98"/>
      <c r="U111" s="98"/>
      <c r="V111" s="98"/>
      <c r="W111" s="98"/>
    </row>
    <row r="112" spans="2:25" s="79" customFormat="1" ht="12.75" outlineLevel="1" x14ac:dyDescent="0.2">
      <c r="B112" s="83" t="s">
        <v>216</v>
      </c>
      <c r="C112" s="99"/>
      <c r="D112" s="99"/>
      <c r="E112" s="99"/>
      <c r="F112" s="99"/>
      <c r="G112" s="99"/>
      <c r="H112" s="26"/>
      <c r="I112" s="26"/>
      <c r="J112" s="26"/>
      <c r="K112" s="26"/>
      <c r="L112" s="26"/>
      <c r="M112" s="26"/>
      <c r="N112" s="26"/>
      <c r="O112" s="26"/>
      <c r="P112" s="26"/>
      <c r="Q112" s="26"/>
      <c r="R112" s="26"/>
      <c r="S112" s="26"/>
      <c r="T112" s="26"/>
      <c r="U112" s="99"/>
      <c r="V112" s="99"/>
      <c r="W112" s="99"/>
    </row>
    <row r="113" spans="1:51" outlineLevel="1" x14ac:dyDescent="0.2">
      <c r="B113" s="96" t="s">
        <v>21</v>
      </c>
      <c r="C113" s="23">
        <v>43.287925720214844</v>
      </c>
      <c r="D113" s="23">
        <v>38.058250427246094</v>
      </c>
      <c r="E113" s="23">
        <v>37.344902038574219</v>
      </c>
      <c r="F113" s="23">
        <v>38.258670806884766</v>
      </c>
      <c r="G113" s="23">
        <v>40.748794555664063</v>
      </c>
      <c r="H113" s="23">
        <v>43.643093109130859</v>
      </c>
      <c r="I113" s="23">
        <v>43.210048675537109</v>
      </c>
      <c r="J113" s="23">
        <v>42.727886199951172</v>
      </c>
      <c r="K113" s="23">
        <v>42.317813873291016</v>
      </c>
      <c r="L113" s="23">
        <v>42.039669036865234</v>
      </c>
      <c r="M113" s="23">
        <v>41.877681732177734</v>
      </c>
      <c r="N113" s="23">
        <v>42.076927185058594</v>
      </c>
      <c r="O113" s="23">
        <v>42.490634918212891</v>
      </c>
      <c r="P113" s="23">
        <v>43.070755004882813</v>
      </c>
      <c r="Q113" s="23">
        <v>43.876071929931641</v>
      </c>
      <c r="R113" s="23">
        <v>44.88311767578125</v>
      </c>
      <c r="S113" s="23">
        <v>46.051044464111328</v>
      </c>
      <c r="T113" s="23">
        <v>47.385330200195313</v>
      </c>
      <c r="U113" s="23">
        <v>48.892654418945313</v>
      </c>
      <c r="V113" s="23">
        <v>50.567710876464844</v>
      </c>
      <c r="W113" s="23">
        <v>52.408962249755859</v>
      </c>
      <c r="X113" s="92"/>
      <c r="Y113" s="47"/>
    </row>
    <row r="114" spans="1:51" x14ac:dyDescent="0.2">
      <c r="B114" s="15" t="s">
        <v>101</v>
      </c>
      <c r="C114" s="1">
        <v>1.1160999536514282</v>
      </c>
      <c r="D114" s="1">
        <v>0.9190782904624939</v>
      </c>
      <c r="E114" s="1">
        <v>1.6994924545288086</v>
      </c>
      <c r="F114" s="1">
        <v>2.2165000438690186</v>
      </c>
      <c r="G114" s="1">
        <v>2.5547225475311279</v>
      </c>
      <c r="H114" s="1">
        <v>2.8788597583770752</v>
      </c>
      <c r="I114" s="1">
        <v>2.9443461894989014</v>
      </c>
      <c r="J114" s="1">
        <v>2.9915025234222412</v>
      </c>
      <c r="K114" s="1">
        <v>3.0425302982330322</v>
      </c>
      <c r="L114" s="1">
        <v>3.0994091033935547</v>
      </c>
      <c r="M114" s="1">
        <v>3.1615164279937744</v>
      </c>
      <c r="N114" s="1">
        <v>3.2283458709716797</v>
      </c>
      <c r="O114" s="1">
        <v>3.300804615020752</v>
      </c>
      <c r="P114" s="1">
        <v>3.3791396617889404</v>
      </c>
      <c r="Q114" s="1">
        <v>3.4481720924377441</v>
      </c>
      <c r="R114" s="1">
        <v>3.5103533267974854</v>
      </c>
      <c r="S114" s="1">
        <v>3.565899133682251</v>
      </c>
      <c r="T114" s="1">
        <v>3.6150658130645752</v>
      </c>
      <c r="U114" s="1">
        <v>3.6584827899932861</v>
      </c>
      <c r="V114" s="1">
        <v>3.6967799663543701</v>
      </c>
      <c r="W114" s="1">
        <v>3.7304878234863281</v>
      </c>
      <c r="X114" s="93"/>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132</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3"/>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6"/>
      <c r="F116" s="76"/>
      <c r="G116" s="76"/>
      <c r="H116" s="76"/>
      <c r="I116" s="76"/>
      <c r="J116" s="76"/>
      <c r="K116" s="76"/>
      <c r="L116" s="76"/>
      <c r="M116" s="76"/>
      <c r="N116" s="76"/>
      <c r="O116" s="76"/>
      <c r="P116" s="76"/>
      <c r="Q116" s="76"/>
      <c r="R116" s="76"/>
      <c r="S116" s="76"/>
      <c r="T116" s="76"/>
      <c r="U116" s="80"/>
      <c r="V116" s="80"/>
      <c r="W116" s="80"/>
      <c r="X116" s="93"/>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3" t="s">
        <v>217</v>
      </c>
      <c r="C117" s="26"/>
      <c r="D117" s="26"/>
      <c r="E117" s="26"/>
      <c r="F117" s="26"/>
      <c r="G117" s="26"/>
      <c r="H117" s="26"/>
      <c r="I117" s="26"/>
      <c r="J117" s="26"/>
      <c r="K117" s="26"/>
      <c r="L117" s="26"/>
      <c r="M117" s="26"/>
      <c r="N117" s="26"/>
      <c r="O117" s="26"/>
      <c r="P117" s="26"/>
      <c r="Q117" s="26"/>
      <c r="R117" s="26"/>
      <c r="S117" s="26"/>
      <c r="T117" s="26"/>
      <c r="U117" s="26"/>
      <c r="V117" s="100"/>
      <c r="W117" s="100"/>
      <c r="X117" s="93"/>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6" t="s">
        <v>21</v>
      </c>
      <c r="C118" s="23">
        <v>43.287925720214844</v>
      </c>
      <c r="D118" s="23">
        <v>38.058250427246094</v>
      </c>
      <c r="E118" s="23">
        <v>37.344902038574219</v>
      </c>
      <c r="F118" s="23">
        <v>38.258670806884766</v>
      </c>
      <c r="G118" s="23">
        <v>40.784351348876953</v>
      </c>
      <c r="H118" s="23">
        <v>43.785072326660156</v>
      </c>
      <c r="I118" s="23">
        <v>43.53082275390625</v>
      </c>
      <c r="J118" s="23">
        <v>43.302772521972656</v>
      </c>
      <c r="K118" s="23">
        <v>42.979679107666016</v>
      </c>
      <c r="L118" s="23">
        <v>42.618904113769531</v>
      </c>
      <c r="M118" s="23">
        <v>42.205482482910156</v>
      </c>
      <c r="N118" s="23">
        <v>41.971633911132813</v>
      </c>
      <c r="O118" s="23">
        <v>41.907573699951172</v>
      </c>
      <c r="P118" s="23">
        <v>41.965061187744141</v>
      </c>
      <c r="Q118" s="23">
        <v>42.295944213867188</v>
      </c>
      <c r="R118" s="23">
        <v>42.827648162841797</v>
      </c>
      <c r="S118" s="23">
        <v>43.518577575683594</v>
      </c>
      <c r="T118" s="23">
        <v>44.372894287109375</v>
      </c>
      <c r="U118" s="23">
        <v>45.395900726318359</v>
      </c>
      <c r="V118" s="23">
        <v>46.580554962158203</v>
      </c>
      <c r="W118" s="23">
        <v>47.925567626953125</v>
      </c>
      <c r="X118" s="92"/>
      <c r="Y118" s="47"/>
    </row>
    <row r="119" spans="1:51" x14ac:dyDescent="0.2">
      <c r="B119" s="15" t="s">
        <v>101</v>
      </c>
      <c r="C119" s="1">
        <v>1.1160999536514282</v>
      </c>
      <c r="D119" s="1">
        <v>0.9190782904624939</v>
      </c>
      <c r="E119" s="1">
        <v>1.6994924545288086</v>
      </c>
      <c r="F119" s="1">
        <v>2.2165000438690186</v>
      </c>
      <c r="G119" s="1">
        <v>2.5547225475311279</v>
      </c>
      <c r="H119" s="1">
        <v>2.8807013034820557</v>
      </c>
      <c r="I119" s="1">
        <v>2.9465465545654297</v>
      </c>
      <c r="J119" s="1">
        <v>2.9947903156280518</v>
      </c>
      <c r="K119" s="1">
        <v>3.047605037689209</v>
      </c>
      <c r="L119" s="1">
        <v>3.1042914390563965</v>
      </c>
      <c r="M119" s="1">
        <v>3.1642613410949707</v>
      </c>
      <c r="N119" s="1">
        <v>3.2270071506500244</v>
      </c>
      <c r="O119" s="1">
        <v>3.2950952053070068</v>
      </c>
      <c r="P119" s="1">
        <v>3.3689041137695313</v>
      </c>
      <c r="Q119" s="1">
        <v>3.4342272281646729</v>
      </c>
      <c r="R119" s="1">
        <v>3.4939925670623779</v>
      </c>
      <c r="S119" s="1">
        <v>3.5481908321380615</v>
      </c>
      <c r="T119" s="1">
        <v>3.596837043762207</v>
      </c>
      <c r="U119" s="1">
        <v>3.6403632164001465</v>
      </c>
      <c r="V119" s="1">
        <v>3.679232120513916</v>
      </c>
      <c r="W119" s="1">
        <v>3.7138223648071289</v>
      </c>
      <c r="X119" s="93"/>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132</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3"/>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2"/>
      <c r="V121" s="92"/>
      <c r="W121" s="92"/>
      <c r="X121" s="92"/>
      <c r="Y121" s="47"/>
    </row>
    <row r="122" spans="1:51" x14ac:dyDescent="0.2">
      <c r="H122" s="97"/>
      <c r="I122" s="97"/>
      <c r="J122" s="97"/>
      <c r="K122" s="97"/>
      <c r="L122" s="97"/>
      <c r="M122" s="97"/>
      <c r="N122" s="97"/>
      <c r="O122" s="97"/>
      <c r="P122" s="97"/>
      <c r="Q122" s="97"/>
      <c r="R122" s="97"/>
      <c r="S122" s="97"/>
      <c r="T122" s="97"/>
      <c r="U122" s="97"/>
      <c r="V122" s="97"/>
      <c r="W122" s="97"/>
    </row>
    <row r="123" spans="1:51" x14ac:dyDescent="0.2">
      <c r="E123" s="23"/>
      <c r="F123" s="23"/>
      <c r="G123" s="97"/>
      <c r="H123" s="97"/>
      <c r="I123" s="97"/>
      <c r="J123" s="97"/>
      <c r="K123" s="97"/>
      <c r="L123" s="97"/>
      <c r="M123" s="97"/>
      <c r="N123" s="97"/>
      <c r="O123" s="97"/>
      <c r="P123" s="97"/>
      <c r="Q123" s="97"/>
      <c r="R123" s="97"/>
      <c r="S123" s="97"/>
      <c r="T123" s="97"/>
      <c r="U123" s="97"/>
      <c r="V123" s="97"/>
      <c r="W123" s="97"/>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7"/>
      <c r="H127" s="97"/>
      <c r="I127" s="97"/>
      <c r="J127" s="97"/>
      <c r="K127" s="97"/>
      <c r="L127" s="97"/>
      <c r="M127" s="97"/>
      <c r="N127" s="97"/>
      <c r="O127" s="97"/>
      <c r="P127" s="97"/>
      <c r="Q127" s="97"/>
      <c r="R127" s="97"/>
      <c r="S127" s="97"/>
      <c r="T127" s="97"/>
      <c r="U127" s="97"/>
      <c r="V127" s="97"/>
      <c r="W127" s="97"/>
    </row>
    <row r="128" spans="1:51" x14ac:dyDescent="0.2">
      <c r="E128" s="23"/>
      <c r="F128" s="23"/>
      <c r="G128" s="97"/>
      <c r="H128" s="97"/>
      <c r="I128" s="97"/>
      <c r="J128" s="97"/>
      <c r="K128" s="97"/>
      <c r="L128" s="97"/>
      <c r="M128" s="97"/>
      <c r="N128" s="97"/>
      <c r="O128" s="97"/>
      <c r="P128" s="97"/>
      <c r="Q128" s="97"/>
      <c r="R128" s="97"/>
      <c r="S128" s="97"/>
      <c r="T128" s="97"/>
      <c r="U128" s="97"/>
      <c r="V128" s="97"/>
      <c r="W128" s="97"/>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7"/>
      <c r="H130" s="97"/>
      <c r="I130" s="97"/>
      <c r="J130" s="97"/>
      <c r="K130" s="97"/>
      <c r="L130" s="97"/>
      <c r="M130" s="97"/>
      <c r="N130" s="97"/>
      <c r="O130" s="97"/>
      <c r="P130" s="97"/>
      <c r="Q130" s="97"/>
      <c r="R130" s="97"/>
      <c r="S130" s="97"/>
      <c r="T130" s="97"/>
      <c r="U130" s="97"/>
      <c r="V130" s="97"/>
      <c r="W130" s="97"/>
      <c r="X130" s="38"/>
    </row>
    <row r="131" spans="5:24" x14ac:dyDescent="0.2">
      <c r="E131" s="23"/>
      <c r="F131" s="23"/>
      <c r="G131" s="97"/>
      <c r="H131" s="97"/>
      <c r="I131" s="97"/>
      <c r="J131" s="97"/>
      <c r="K131" s="97"/>
      <c r="L131" s="97"/>
      <c r="M131" s="97"/>
      <c r="N131" s="97"/>
      <c r="O131" s="97"/>
      <c r="P131" s="97"/>
      <c r="Q131" s="97"/>
      <c r="R131" s="97"/>
      <c r="S131" s="97"/>
      <c r="T131" s="97"/>
      <c r="U131" s="97"/>
      <c r="V131" s="97"/>
      <c r="W131" s="97"/>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7"/>
      <c r="H133" s="97"/>
      <c r="I133" s="97"/>
      <c r="J133" s="97"/>
      <c r="K133" s="97"/>
      <c r="L133" s="97"/>
      <c r="M133" s="97"/>
      <c r="N133" s="97"/>
      <c r="O133" s="97"/>
      <c r="P133" s="97"/>
      <c r="Q133" s="97"/>
      <c r="R133" s="97"/>
      <c r="S133" s="97"/>
      <c r="T133" s="97"/>
      <c r="U133" s="97"/>
      <c r="V133" s="97"/>
      <c r="W133" s="97"/>
      <c r="X133" s="97"/>
    </row>
    <row r="134" spans="5:24" x14ac:dyDescent="0.2">
      <c r="E134" s="23"/>
      <c r="F134" s="23"/>
      <c r="G134" s="97"/>
      <c r="H134" s="97"/>
      <c r="I134" s="97"/>
      <c r="J134" s="97"/>
      <c r="K134" s="97"/>
      <c r="L134" s="97"/>
      <c r="M134" s="97"/>
      <c r="N134" s="97"/>
      <c r="O134" s="97"/>
      <c r="P134" s="97"/>
      <c r="Q134" s="97"/>
      <c r="R134" s="97"/>
      <c r="S134" s="97"/>
      <c r="T134" s="97"/>
      <c r="U134" s="97"/>
      <c r="V134" s="97"/>
      <c r="W134" s="97"/>
      <c r="X134" s="97"/>
    </row>
    <row r="135" spans="5:24" x14ac:dyDescent="0.2">
      <c r="G135" s="97"/>
      <c r="H135" s="97"/>
      <c r="I135" s="97"/>
      <c r="J135" s="97"/>
      <c r="K135" s="97"/>
      <c r="L135" s="97"/>
      <c r="M135" s="97"/>
      <c r="N135" s="97"/>
      <c r="O135" s="97"/>
      <c r="P135" s="97"/>
      <c r="Q135" s="97"/>
      <c r="R135" s="97"/>
      <c r="S135" s="97"/>
      <c r="T135" s="97"/>
      <c r="U135" s="97"/>
      <c r="V135" s="97"/>
      <c r="W135" s="97"/>
      <c r="X135" s="97"/>
    </row>
    <row r="136" spans="5:24" x14ac:dyDescent="0.2">
      <c r="E136" s="23"/>
      <c r="F136" s="23"/>
      <c r="G136" s="97"/>
      <c r="H136" s="97"/>
      <c r="I136" s="97"/>
      <c r="J136" s="97"/>
      <c r="K136" s="97"/>
      <c r="L136" s="97"/>
      <c r="M136" s="97"/>
      <c r="N136" s="97"/>
      <c r="O136" s="97"/>
      <c r="P136" s="97"/>
      <c r="Q136" s="97"/>
      <c r="R136" s="97"/>
      <c r="S136" s="97"/>
      <c r="T136" s="97"/>
      <c r="U136" s="97"/>
      <c r="V136" s="97"/>
      <c r="W136" s="97"/>
      <c r="X136" s="97"/>
    </row>
    <row r="137" spans="5:24" x14ac:dyDescent="0.2">
      <c r="E137" s="23"/>
      <c r="F137" s="23"/>
      <c r="G137" s="97"/>
      <c r="H137" s="97"/>
      <c r="I137" s="97"/>
      <c r="J137" s="97"/>
      <c r="K137" s="97"/>
      <c r="L137" s="97"/>
      <c r="M137" s="97"/>
      <c r="N137" s="97"/>
      <c r="O137" s="97"/>
      <c r="P137" s="97"/>
      <c r="Q137" s="97"/>
      <c r="R137" s="97"/>
      <c r="S137" s="97"/>
      <c r="T137" s="97"/>
      <c r="U137" s="97"/>
      <c r="V137" s="97"/>
      <c r="W137" s="97"/>
      <c r="X137" s="97"/>
    </row>
    <row r="138" spans="5:24" x14ac:dyDescent="0.2">
      <c r="G138" s="97"/>
      <c r="H138" s="97"/>
      <c r="I138" s="97"/>
      <c r="J138" s="97"/>
      <c r="K138" s="97"/>
      <c r="L138" s="97"/>
      <c r="M138" s="97"/>
      <c r="N138" s="97"/>
      <c r="O138" s="97"/>
      <c r="P138" s="97"/>
      <c r="Q138" s="97"/>
      <c r="R138" s="97"/>
      <c r="S138" s="97"/>
      <c r="T138" s="97"/>
      <c r="U138" s="97"/>
      <c r="V138" s="97"/>
      <c r="W138" s="97"/>
      <c r="X138" s="97"/>
    </row>
    <row r="139" spans="5:24" x14ac:dyDescent="0.2">
      <c r="G139" s="97"/>
      <c r="H139" s="97"/>
      <c r="I139" s="97"/>
      <c r="J139" s="97"/>
      <c r="K139" s="97"/>
      <c r="L139" s="97"/>
      <c r="M139" s="97"/>
      <c r="N139" s="97"/>
      <c r="O139" s="97"/>
      <c r="P139" s="97"/>
      <c r="Q139" s="97"/>
      <c r="R139" s="97"/>
      <c r="S139" s="97"/>
      <c r="T139" s="97"/>
      <c r="U139" s="97"/>
      <c r="V139" s="97"/>
      <c r="W139" s="97"/>
      <c r="X139" s="97"/>
    </row>
  </sheetData>
  <conditionalFormatting sqref="G12:M12">
    <cfRule type="expression" dxfId="6" priority="6">
      <formula>AND(G10&gt;$C$5,G10&lt;=$C$6)</formula>
    </cfRule>
  </conditionalFormatting>
  <conditionalFormatting sqref="U10:W44 U46:W53 U55:W84 U86:W109 U111:W130">
    <cfRule type="expression" dxfId="5" priority="2">
      <formula>U$10&gt;$C$7</formula>
    </cfRule>
  </conditionalFormatting>
  <conditionalFormatting sqref="U79:W79">
    <cfRule type="expression" dxfId="4"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election activeCell="F22" sqref="F22:X36"/>
    </sheetView>
  </sheetViews>
  <sheetFormatPr defaultRowHeight="12.75" x14ac:dyDescent="0.2"/>
  <cols>
    <col min="1" max="1" width="9.140625" style="276"/>
    <col min="2" max="2" width="4.5703125" style="276" customWidth="1"/>
    <col min="3" max="3" width="67" style="276" customWidth="1"/>
    <col min="4" max="4" width="16.5703125" style="276" customWidth="1"/>
    <col min="5" max="5" width="13.7109375" style="276" customWidth="1"/>
    <col min="6" max="24" width="10.7109375" style="276" customWidth="1"/>
    <col min="25" max="16384" width="9.140625" style="276"/>
  </cols>
  <sheetData>
    <row r="1" spans="1:25" x14ac:dyDescent="0.2">
      <c r="A1" s="191"/>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x14ac:dyDescent="0.2">
      <c r="A2" s="191"/>
      <c r="B2" s="281"/>
      <c r="C2" s="282" t="s">
        <v>146</v>
      </c>
      <c r="D2" s="283"/>
      <c r="E2" s="283"/>
      <c r="F2" s="283"/>
      <c r="G2" s="299"/>
      <c r="H2" s="299"/>
      <c r="I2" s="299"/>
      <c r="J2" s="299"/>
      <c r="K2" s="191"/>
      <c r="L2" s="191"/>
      <c r="M2" s="191"/>
      <c r="N2" s="191"/>
      <c r="O2" s="191"/>
      <c r="P2" s="191"/>
      <c r="Q2" s="191"/>
      <c r="R2" s="191"/>
      <c r="S2" s="191"/>
      <c r="T2" s="191"/>
      <c r="U2" s="191"/>
      <c r="V2" s="191"/>
      <c r="W2" s="191"/>
      <c r="X2" s="191"/>
      <c r="Y2" s="191"/>
    </row>
    <row r="3" spans="1:25" x14ac:dyDescent="0.2">
      <c r="A3" s="191"/>
      <c r="B3" s="278"/>
      <c r="C3" s="299"/>
      <c r="D3" s="299"/>
      <c r="E3" s="299"/>
      <c r="F3" s="299"/>
      <c r="G3" s="299"/>
      <c r="H3" s="299"/>
      <c r="I3" s="299"/>
      <c r="J3" s="299"/>
      <c r="K3" s="191"/>
      <c r="L3" s="191"/>
      <c r="M3" s="191"/>
      <c r="N3" s="191"/>
      <c r="O3" s="191"/>
      <c r="P3" s="191"/>
      <c r="Q3" s="191"/>
      <c r="R3" s="191"/>
      <c r="S3" s="191"/>
      <c r="T3" s="191"/>
      <c r="U3" s="191"/>
      <c r="V3" s="191"/>
      <c r="W3" s="191"/>
      <c r="X3" s="191"/>
      <c r="Y3" s="191"/>
    </row>
    <row r="4" spans="1:25" x14ac:dyDescent="0.2">
      <c r="A4" s="191"/>
      <c r="B4" s="284"/>
      <c r="C4" s="282"/>
      <c r="D4" s="285" t="s">
        <v>167</v>
      </c>
      <c r="E4" s="286">
        <f>F4-1</f>
        <v>2022</v>
      </c>
      <c r="F4" s="287">
        <f>'Input data'!$C$5-1</f>
        <v>2023</v>
      </c>
      <c r="G4" s="287">
        <f>F4+1</f>
        <v>2024</v>
      </c>
      <c r="H4" s="287">
        <f t="shared" ref="H4:X4" si="0">G4+1</f>
        <v>2025</v>
      </c>
      <c r="I4" s="287">
        <f t="shared" si="0"/>
        <v>2026</v>
      </c>
      <c r="J4" s="287">
        <f t="shared" si="0"/>
        <v>2027</v>
      </c>
      <c r="K4" s="287">
        <f t="shared" si="0"/>
        <v>2028</v>
      </c>
      <c r="L4" s="287">
        <f t="shared" si="0"/>
        <v>2029</v>
      </c>
      <c r="M4" s="287">
        <f t="shared" si="0"/>
        <v>2030</v>
      </c>
      <c r="N4" s="287">
        <f t="shared" si="0"/>
        <v>2031</v>
      </c>
      <c r="O4" s="287">
        <f t="shared" si="0"/>
        <v>2032</v>
      </c>
      <c r="P4" s="287">
        <f t="shared" si="0"/>
        <v>2033</v>
      </c>
      <c r="Q4" s="287">
        <f t="shared" si="0"/>
        <v>2034</v>
      </c>
      <c r="R4" s="287">
        <f t="shared" si="0"/>
        <v>2035</v>
      </c>
      <c r="S4" s="287">
        <f t="shared" si="0"/>
        <v>2036</v>
      </c>
      <c r="T4" s="287">
        <f t="shared" si="0"/>
        <v>2037</v>
      </c>
      <c r="U4" s="287">
        <f t="shared" si="0"/>
        <v>2038</v>
      </c>
      <c r="V4" s="287">
        <f t="shared" si="0"/>
        <v>2039</v>
      </c>
      <c r="W4" s="287">
        <f t="shared" si="0"/>
        <v>2040</v>
      </c>
      <c r="X4" s="287">
        <f t="shared" si="0"/>
        <v>2041</v>
      </c>
      <c r="Y4" s="191"/>
    </row>
    <row r="5" spans="1:25" x14ac:dyDescent="0.2">
      <c r="A5" s="191"/>
      <c r="B5" s="284">
        <v>1</v>
      </c>
      <c r="C5" s="288" t="s">
        <v>147</v>
      </c>
      <c r="D5" s="289">
        <v>57</v>
      </c>
      <c r="E5" s="290" t="s">
        <v>148</v>
      </c>
      <c r="F5" s="277">
        <f ca="1">INDEX(OFFSET('Adjustment scenario'!$D$1:$W$1,$D5-1,0),MATCH(F$4,'Adjustment scenario'!$D$10:$W$10,0))</f>
        <v>37.344895037084065</v>
      </c>
      <c r="G5" s="277">
        <f ca="1">INDEX(OFFSET('Adjustment scenario'!$D$1:$W$1,$D5-1,0),MATCH(G$4,'Adjustment scenario'!$D$10:$W$10,0))</f>
        <v>38.25865969882279</v>
      </c>
      <c r="H5" s="277">
        <f ca="1">INDEX(OFFSET('Adjustment scenario'!$D$1:$W$1,$D5-1,0),MATCH(H$4,'Adjustment scenario'!$D$10:$W$10,0))</f>
        <v>40.74877946072607</v>
      </c>
      <c r="I5" s="277">
        <f ca="1">INDEX(OFFSET('Adjustment scenario'!$D$1:$W$1,$D5-1,0),MATCH(I$4,'Adjustment scenario'!$D$10:$W$10,0))</f>
        <v>43.648668912354275</v>
      </c>
      <c r="J5" s="277">
        <f ca="1">INDEX(OFFSET('Adjustment scenario'!$D$1:$W$1,$D5-1,0),MATCH(J$4,'Adjustment scenario'!$D$10:$W$10,0))</f>
        <v>43.220346968472072</v>
      </c>
      <c r="K5" s="277">
        <f ca="1">INDEX(OFFSET('Adjustment scenario'!$D$1:$W$1,$D5-1,0),MATCH(K$4,'Adjustment scenario'!$D$10:$W$10,0))</f>
        <v>42.742241902433307</v>
      </c>
      <c r="L5" s="277">
        <f ca="1">INDEX(OFFSET('Adjustment scenario'!$D$1:$W$1,$D5-1,0),MATCH(L$4,'Adjustment scenario'!$D$10:$W$10,0))</f>
        <v>42.335642472219156</v>
      </c>
      <c r="M5" s="277">
        <f ca="1">INDEX(OFFSET('Adjustment scenario'!$D$1:$W$1,$D5-1,0),MATCH(M$4,'Adjustment scenario'!$D$10:$W$10,0))</f>
        <v>42.060487915245872</v>
      </c>
      <c r="N5" s="277">
        <f ca="1">INDEX(OFFSET('Adjustment scenario'!$D$1:$W$1,$D5-1,0),MATCH(N$4,'Adjustment scenario'!$D$10:$W$10,0))</f>
        <v>41.901081795148514</v>
      </c>
      <c r="O5" s="277">
        <f ca="1">INDEX(OFFSET('Adjustment scenario'!$D$1:$W$1,$D5-1,0),MATCH(O$4,'Adjustment scenario'!$D$10:$W$10,0))</f>
        <v>42.10262670661902</v>
      </c>
      <c r="P5" s="277">
        <f ca="1">INDEX(OFFSET('Adjustment scenario'!$D$1:$W$1,$D5-1,0),MATCH(P$4,'Adjustment scenario'!$D$10:$W$10,0))</f>
        <v>42.518341842453523</v>
      </c>
      <c r="Q5" s="277">
        <f ca="1">INDEX(OFFSET('Adjustment scenario'!$D$1:$W$1,$D5-1,0),MATCH(Q$4,'Adjustment scenario'!$D$10:$W$10,0))</f>
        <v>43.099861758809325</v>
      </c>
      <c r="R5" s="277">
        <f ca="1">INDEX(OFFSET('Adjustment scenario'!$D$1:$W$1,$D5-1,0),MATCH(R$4,'Adjustment scenario'!$D$10:$W$10,0))</f>
        <v>43.906427392589912</v>
      </c>
      <c r="S5" s="277">
        <f ca="1">INDEX(OFFSET('Adjustment scenario'!$D$1:$W$1,$D5-1,0),MATCH(S$4,'Adjustment scenario'!$D$10:$W$10,0))</f>
        <v>44.914602509297943</v>
      </c>
      <c r="T5" s="277">
        <f ca="1">INDEX(OFFSET('Adjustment scenario'!$D$1:$W$1,$D5-1,0),MATCH(T$4,'Adjustment scenario'!$D$10:$W$10,0))</f>
        <v>46.083537968625073</v>
      </c>
      <c r="U5" s="277">
        <f ca="1">INDEX(OFFSET('Adjustment scenario'!$D$1:$W$1,$D5-1,0),MATCH(U$4,'Adjustment scenario'!$D$10:$W$10,0))</f>
        <v>47.418746060084608</v>
      </c>
      <c r="V5" s="277">
        <f ca="1">INDEX(OFFSET('Adjustment scenario'!$D$1:$W$1,$D5-1,0),MATCH(V$4,'Adjustment scenario'!$D$10:$W$10,0))</f>
        <v>48.926936161571298</v>
      </c>
      <c r="W5" s="277">
        <f ca="1">INDEX(OFFSET('Adjustment scenario'!$D$1:$W$1,$D5-1,0),MATCH(W$4,'Adjustment scenario'!$D$10:$W$10,0))</f>
        <v>50.602820349699115</v>
      </c>
      <c r="X5" s="277">
        <f ca="1">INDEX(OFFSET('Adjustment scenario'!$D$1:$W$1,$D5-1,0),MATCH(X$4,'Adjustment scenario'!$D$10:$W$10,0))</f>
        <v>52.444862963237547</v>
      </c>
      <c r="Y5" s="191"/>
    </row>
    <row r="6" spans="1:25" x14ac:dyDescent="0.2">
      <c r="A6" s="191"/>
      <c r="B6" s="284">
        <v>2</v>
      </c>
      <c r="C6" s="288" t="s">
        <v>149</v>
      </c>
      <c r="D6" s="289">
        <v>77</v>
      </c>
      <c r="E6" s="290" t="s">
        <v>148</v>
      </c>
      <c r="F6" s="277">
        <f ca="1">INDEX(OFFSET('Adjustment scenario'!$D$1:$W$1,$D6-1,0),MATCH(F$4,'Adjustment scenario'!$D$10:$W$10,0))</f>
        <v>-0.69003439322329896</v>
      </c>
      <c r="G6" s="277">
        <f ca="1">INDEX(OFFSET('Adjustment scenario'!$D$1:$W$1,$D6-1,0),MATCH(G$4,'Adjustment scenario'!$D$10:$W$10,0))</f>
        <v>-2.0349233950924699</v>
      </c>
      <c r="H6" s="277">
        <f ca="1">INDEX(OFFSET('Adjustment scenario'!$D$1:$W$1,$D6-1,0),MATCH(H$4,'Adjustment scenario'!$D$10:$W$10,0))</f>
        <v>-1.9859276110903874</v>
      </c>
      <c r="I6" s="277">
        <f ca="1">INDEX(OFFSET('Adjustment scenario'!$D$1:$W$1,$D6-1,0),MATCH(I$4,'Adjustment scenario'!$D$10:$W$10,0))</f>
        <v>-1.7645895662243023</v>
      </c>
      <c r="J6" s="277">
        <f ca="1">INDEX(OFFSET('Adjustment scenario'!$D$1:$W$1,$D6-1,0),MATCH(J$4,'Adjustment scenario'!$D$10:$W$10,0))</f>
        <v>-1.5833611199957041</v>
      </c>
      <c r="K6" s="277">
        <f ca="1">INDEX(OFFSET('Adjustment scenario'!$D$1:$W$1,$D6-1,0),MATCH(K$4,'Adjustment scenario'!$D$10:$W$10,0))</f>
        <v>-1.327923444819991</v>
      </c>
      <c r="L6" s="277">
        <f ca="1">INDEX(OFFSET('Adjustment scenario'!$D$1:$W$1,$D6-1,0),MATCH(L$4,'Adjustment scenario'!$D$10:$W$10,0))</f>
        <v>-1.3950008523646014</v>
      </c>
      <c r="M6" s="277">
        <f ca="1">INDEX(OFFSET('Adjustment scenario'!$D$1:$W$1,$D6-1,0),MATCH(M$4,'Adjustment scenario'!$D$10:$W$10,0))</f>
        <v>-1.4722029239381724</v>
      </c>
      <c r="N6" s="277">
        <f ca="1">INDEX(OFFSET('Adjustment scenario'!$D$1:$W$1,$D6-1,0),MATCH(N$4,'Adjustment scenario'!$D$10:$W$10,0))</f>
        <v>-1.5618979617209281</v>
      </c>
      <c r="O6" s="277">
        <f ca="1">INDEX(OFFSET('Adjustment scenario'!$D$1:$W$1,$D6-1,0),MATCH(O$4,'Adjustment scenario'!$D$10:$W$10,0))</f>
        <v>-1.783639082820403</v>
      </c>
      <c r="P6" s="277">
        <f ca="1">INDEX(OFFSET('Adjustment scenario'!$D$1:$W$1,$D6-1,0),MATCH(P$4,'Adjustment scenario'!$D$10:$W$10,0))</f>
        <v>-2.0113373014748914</v>
      </c>
      <c r="Q6" s="277">
        <f ca="1">INDEX(OFFSET('Adjustment scenario'!$D$1:$W$1,$D6-1,0),MATCH(Q$4,'Adjustment scenario'!$D$10:$W$10,0))</f>
        <v>-2.220592152685148</v>
      </c>
      <c r="R6" s="277">
        <f ca="1">INDEX(OFFSET('Adjustment scenario'!$D$1:$W$1,$D6-1,0),MATCH(R$4,'Adjustment scenario'!$D$10:$W$10,0))</f>
        <v>-2.4377644104385716</v>
      </c>
      <c r="S6" s="277">
        <f ca="1">INDEX(OFFSET('Adjustment scenario'!$D$1:$W$1,$D6-1,0),MATCH(S$4,'Adjustment scenario'!$D$10:$W$10,0))</f>
        <v>-2.6390059608310823</v>
      </c>
      <c r="T6" s="277">
        <f ca="1">INDEX(OFFSET('Adjustment scenario'!$D$1:$W$1,$D6-1,0),MATCH(T$4,'Adjustment scenario'!$D$10:$W$10,0))</f>
        <v>-2.8055706693441476</v>
      </c>
      <c r="U6" s="277">
        <f ca="1">INDEX(OFFSET('Adjustment scenario'!$D$1:$W$1,$D6-1,0),MATCH(U$4,'Adjustment scenario'!$D$10:$W$10,0))</f>
        <v>-2.971947876861003</v>
      </c>
      <c r="V6" s="277">
        <f ca="1">INDEX(OFFSET('Adjustment scenario'!$D$1:$W$1,$D6-1,0),MATCH(V$4,'Adjustment scenario'!$D$10:$W$10,0))</f>
        <v>-3.1424367366374781</v>
      </c>
      <c r="W6" s="277">
        <f ca="1">INDEX(OFFSET('Adjustment scenario'!$D$1:$W$1,$D6-1,0),MATCH(W$4,'Adjustment scenario'!$D$10:$W$10,0))</f>
        <v>-3.3023475815512708</v>
      </c>
      <c r="X6" s="277">
        <f ca="1">INDEX(OFFSET('Adjustment scenario'!$D$1:$W$1,$D6-1,0),MATCH(X$4,'Adjustment scenario'!$D$10:$W$10,0))</f>
        <v>-3.4812891498801033</v>
      </c>
      <c r="Y6" s="191"/>
    </row>
    <row r="7" spans="1:25" x14ac:dyDescent="0.2">
      <c r="A7" s="191"/>
      <c r="B7" s="284">
        <v>3</v>
      </c>
      <c r="C7" s="288" t="s">
        <v>18</v>
      </c>
      <c r="D7" s="289">
        <v>12</v>
      </c>
      <c r="E7" s="290" t="s">
        <v>150</v>
      </c>
      <c r="F7" s="277">
        <f ca="1">INDEX(OFFSET('Adjustment scenario'!$D$1:$W$1,$D7-1,0),MATCH(F$4,'Adjustment scenario'!$D$10:$W$10,0))</f>
        <v>0.7080978</v>
      </c>
      <c r="G7" s="277">
        <f ca="1">INDEX(OFFSET('Adjustment scenario'!$D$1:$W$1,$D7-1,0),MATCH(G$4,'Adjustment scenario'!$D$10:$W$10,0))</f>
        <v>-0.36979909999999999</v>
      </c>
      <c r="H7" s="277">
        <f ca="1">INDEX(OFFSET('Adjustment scenario'!$D$1:$W$1,$D7-1,0),MATCH(H$4,'Adjustment scenario'!$D$10:$W$10,0))</f>
        <v>-0.20979909999999996</v>
      </c>
      <c r="I7" s="277">
        <f ca="1">INDEX(OFFSET('Adjustment scenario'!$D$1:$W$1,$D7-1,0),MATCH(I$4,'Adjustment scenario'!$D$10:$W$10,0))</f>
        <v>-4.979909999999993E-2</v>
      </c>
      <c r="J7" s="277">
        <f ca="1">INDEX(OFFSET('Adjustment scenario'!$D$1:$W$1,$D7-1,0),MATCH(J$4,'Adjustment scenario'!$D$10:$W$10,0))</f>
        <v>0.1102009000000001</v>
      </c>
      <c r="K7" s="277">
        <f ca="1">INDEX(OFFSET('Adjustment scenario'!$D$1:$W$1,$D7-1,0),MATCH(K$4,'Adjustment scenario'!$D$10:$W$10,0))</f>
        <v>0.27020090000000013</v>
      </c>
      <c r="L7" s="277">
        <f ca="1">INDEX(OFFSET('Adjustment scenario'!$D$1:$W$1,$D7-1,0),MATCH(L$4,'Adjustment scenario'!$D$10:$W$10,0))</f>
        <v>0.27020090000000013</v>
      </c>
      <c r="M7" s="277">
        <f ca="1">INDEX(OFFSET('Adjustment scenario'!$D$1:$W$1,$D7-1,0),MATCH(M$4,'Adjustment scenario'!$D$10:$W$10,0))</f>
        <v>0.27020090000000013</v>
      </c>
      <c r="N7" s="277">
        <f ca="1">INDEX(OFFSET('Adjustment scenario'!$D$1:$W$1,$D7-1,0),MATCH(N$4,'Adjustment scenario'!$D$10:$W$10,0))</f>
        <v>0.27020090000000013</v>
      </c>
      <c r="O7" s="277">
        <f ca="1">INDEX(OFFSET('Adjustment scenario'!$D$1:$W$1,$D7-1,0),MATCH(O$4,'Adjustment scenario'!$D$10:$W$10,0))</f>
        <v>0.27020090000000013</v>
      </c>
      <c r="P7" s="277">
        <f ca="1">INDEX(OFFSET('Adjustment scenario'!$D$1:$W$1,$D7-1,0),MATCH(P$4,'Adjustment scenario'!$D$10:$W$10,0))</f>
        <v>0.27020090000000013</v>
      </c>
      <c r="Q7" s="277">
        <f ca="1">INDEX(OFFSET('Adjustment scenario'!$D$1:$W$1,$D7-1,0),MATCH(Q$4,'Adjustment scenario'!$D$10:$W$10,0))</f>
        <v>0.27020090000000013</v>
      </c>
      <c r="R7" s="277">
        <f ca="1">INDEX(OFFSET('Adjustment scenario'!$D$1:$W$1,$D7-1,0),MATCH(R$4,'Adjustment scenario'!$D$10:$W$10,0))</f>
        <v>0.27020090000000013</v>
      </c>
      <c r="S7" s="277">
        <f ca="1">INDEX(OFFSET('Adjustment scenario'!$D$1:$W$1,$D7-1,0),MATCH(S$4,'Adjustment scenario'!$D$10:$W$10,0))</f>
        <v>0.27020090000000013</v>
      </c>
      <c r="T7" s="277">
        <f ca="1">INDEX(OFFSET('Adjustment scenario'!$D$1:$W$1,$D7-1,0),MATCH(T$4,'Adjustment scenario'!$D$10:$W$10,0))</f>
        <v>0.27020090000000013</v>
      </c>
      <c r="U7" s="277">
        <f ca="1">INDEX(OFFSET('Adjustment scenario'!$D$1:$W$1,$D7-1,0),MATCH(U$4,'Adjustment scenario'!$D$10:$W$10,0))</f>
        <v>0.27020090000000013</v>
      </c>
      <c r="V7" s="277">
        <f ca="1">INDEX(OFFSET('Adjustment scenario'!$D$1:$W$1,$D7-1,0),MATCH(V$4,'Adjustment scenario'!$D$10:$W$10,0))</f>
        <v>0.27020090000000013</v>
      </c>
      <c r="W7" s="277">
        <f ca="1">INDEX(OFFSET('Adjustment scenario'!$D$1:$W$1,$D7-1,0),MATCH(W$4,'Adjustment scenario'!$D$10:$W$10,0))</f>
        <v>0.27020090000000013</v>
      </c>
      <c r="X7" s="277">
        <f ca="1">INDEX(OFFSET('Adjustment scenario'!$D$1:$W$1,$D7-1,0),MATCH(X$4,'Adjustment scenario'!$D$10:$W$10,0))</f>
        <v>0.27020090000000013</v>
      </c>
      <c r="Y7" s="191"/>
    </row>
    <row r="8" spans="1:25" x14ac:dyDescent="0.2">
      <c r="A8" s="191"/>
      <c r="B8" s="284">
        <v>4</v>
      </c>
      <c r="C8" s="288" t="s">
        <v>151</v>
      </c>
      <c r="D8" s="289">
        <v>62</v>
      </c>
      <c r="E8" s="290" t="s">
        <v>150</v>
      </c>
      <c r="F8" s="277">
        <f ca="1">INDEX(OFFSET('Adjustment scenario'!$D$1:$W$1,$D8-1,0),MATCH(F$4,'Adjustment scenario'!$D$10:$W$10,0))</f>
        <v>0.81013486992259998</v>
      </c>
      <c r="G8" s="277">
        <f ca="1">INDEX(OFFSET('Adjustment scenario'!$D$1:$W$1,$D8-1,0),MATCH(G$4,'Adjustment scenario'!$D$10:$W$10,0))</f>
        <v>0.88576236173872713</v>
      </c>
      <c r="H8" s="277">
        <f ca="1">INDEX(OFFSET('Adjustment scenario'!$D$1:$W$1,$D8-1,0),MATCH(H$4,'Adjustment scenario'!$D$10:$W$10,0))</f>
        <v>0.85683149378704215</v>
      </c>
      <c r="I8" s="277">
        <f ca="1">INDEX(OFFSET('Adjustment scenario'!$D$1:$W$1,$D8-1,0),MATCH(I$4,'Adjustment scenario'!$D$10:$W$10,0))</f>
        <v>0.62497571964023491</v>
      </c>
      <c r="J8" s="277">
        <f ca="1">INDEX(OFFSET('Adjustment scenario'!$D$1:$W$1,$D8-1,0),MATCH(J$4,'Adjustment scenario'!$D$10:$W$10,0))</f>
        <v>0.46279671997032462</v>
      </c>
      <c r="K8" s="277">
        <f ca="1">INDEX(OFFSET('Adjustment scenario'!$D$1:$W$1,$D8-1,0),MATCH(K$4,'Adjustment scenario'!$D$10:$W$10,0))</f>
        <v>0.35502052795617456</v>
      </c>
      <c r="L8" s="277">
        <f ca="1">INDEX(OFFSET('Adjustment scenario'!$D$1:$W$1,$D8-1,0),MATCH(L$4,'Adjustment scenario'!$D$10:$W$10,0))</f>
        <v>0.23668035197078596</v>
      </c>
      <c r="M8" s="277">
        <f ca="1">INDEX(OFFSET('Adjustment scenario'!$D$1:$W$1,$D8-1,0),MATCH(M$4,'Adjustment scenario'!$D$10:$W$10,0))</f>
        <v>0.11834017598538855</v>
      </c>
      <c r="N8" s="277">
        <f ca="1">INDEX(OFFSET('Adjustment scenario'!$D$1:$W$1,$D8-1,0),MATCH(N$4,'Adjustment scenario'!$D$10:$W$10,0))</f>
        <v>0</v>
      </c>
      <c r="O8" s="277">
        <f ca="1">INDEX(OFFSET('Adjustment scenario'!$D$1:$W$1,$D8-1,0),MATCH(O$4,'Adjustment scenario'!$D$10:$W$10,0))</f>
        <v>-3.9281572741245444E-7</v>
      </c>
      <c r="P8" s="277">
        <f ca="1">INDEX(OFFSET('Adjustment scenario'!$D$1:$W$1,$D8-1,0),MATCH(P$4,'Adjustment scenario'!$D$10:$W$10,0))</f>
        <v>-1.5713028131969509E-6</v>
      </c>
      <c r="Q8" s="277">
        <f ca="1">INDEX(OFFSET('Adjustment scenario'!$D$1:$W$1,$D8-1,0),MATCH(Q$4,'Adjustment scenario'!$D$10:$W$10,0))</f>
        <v>-1.1786691235693425E-6</v>
      </c>
      <c r="R8" s="277">
        <f ca="1">INDEX(OFFSET('Adjustment scenario'!$D$1:$W$1,$D8-1,0),MATCH(R$4,'Adjustment scenario'!$D$10:$W$10,0))</f>
        <v>-7.8581561004931197E-7</v>
      </c>
      <c r="S8" s="277">
        <f ca="1">INDEX(OFFSET('Adjustment scenario'!$D$1:$W$1,$D8-1,0),MATCH(S$4,'Adjustment scenario'!$D$10:$W$10,0))</f>
        <v>-7.8581561004931197E-7</v>
      </c>
      <c r="T8" s="277">
        <f ca="1">INDEX(OFFSET('Adjustment scenario'!$D$1:$W$1,$D8-1,0),MATCH(T$4,'Adjustment scenario'!$D$10:$W$10,0))</f>
        <v>-3.9252170453973893E-7</v>
      </c>
      <c r="U8" s="277">
        <f ca="1">INDEX(OFFSET('Adjustment scenario'!$D$1:$W$1,$D8-1,0),MATCH(U$4,'Adjustment scenario'!$D$10:$W$10,0))</f>
        <v>-1.1797275155434052E-6</v>
      </c>
      <c r="V8" s="277">
        <f ca="1">INDEX(OFFSET('Adjustment scenario'!$D$1:$W$1,$D8-1,0),MATCH(V$4,'Adjustment scenario'!$D$10:$W$10,0))</f>
        <v>2.1676556549721229E-9</v>
      </c>
      <c r="W8" s="277">
        <f ca="1">INDEX(OFFSET('Adjustment scenario'!$D$1:$W$1,$D8-1,0),MATCH(W$4,'Adjustment scenario'!$D$10:$W$10,0))</f>
        <v>2.1676556549721229E-9</v>
      </c>
      <c r="X8" s="277">
        <f ca="1">INDEX(OFFSET('Adjustment scenario'!$D$1:$W$1,$D8-1,0),MATCH(X$4,'Adjustment scenario'!$D$10:$W$10,0))</f>
        <v>2.1676512251822544E-9</v>
      </c>
      <c r="Y8" s="191"/>
    </row>
    <row r="9" spans="1:25" x14ac:dyDescent="0.2">
      <c r="A9" s="191"/>
      <c r="B9" s="284">
        <v>5</v>
      </c>
      <c r="C9" s="288" t="s">
        <v>152</v>
      </c>
      <c r="D9" s="289">
        <v>14</v>
      </c>
      <c r="E9" s="290" t="s">
        <v>148</v>
      </c>
      <c r="F9" s="277">
        <f ca="1">INDEX(OFFSET('Adjustment scenario'!$D$1:$W$1,$D9-1,0),MATCH(F$4,'Adjustment scenario'!$D$10:$W$10,0))</f>
        <v>3.2523000000000001E-3</v>
      </c>
      <c r="G9" s="277">
        <f ca="1">INDEX(OFFSET('Adjustment scenario'!$D$1:$W$1,$D9-1,0),MATCH(G$4,'Adjustment scenario'!$D$10:$W$10,0))</f>
        <v>2.5601999999999999E-3</v>
      </c>
      <c r="H9" s="277">
        <f ca="1">INDEX(OFFSET('Adjustment scenario'!$D$1:$W$1,$D9-1,0),MATCH(H$4,'Adjustment scenario'!$D$10:$W$10,0))</f>
        <v>1.5619E-3</v>
      </c>
      <c r="I9" s="277">
        <f ca="1">INDEX(OFFSET('Adjustment scenario'!$D$1:$W$1,$D9-1,0),MATCH(I$4,'Adjustment scenario'!$D$10:$W$10,0))</f>
        <v>3.3098299999999997E-2</v>
      </c>
      <c r="J9" s="277">
        <f ca="1">INDEX(OFFSET('Adjustment scenario'!$D$1:$W$1,$D9-1,0),MATCH(J$4,'Adjustment scenario'!$D$10:$W$10,0))</f>
        <v>0</v>
      </c>
      <c r="K9" s="277">
        <f ca="1">INDEX(OFFSET('Adjustment scenario'!$D$1:$W$1,$D9-1,0),MATCH(K$4,'Adjustment scenario'!$D$10:$W$10,0))</f>
        <v>0</v>
      </c>
      <c r="L9" s="277">
        <f ca="1">INDEX(OFFSET('Adjustment scenario'!$D$1:$W$1,$D9-1,0),MATCH(L$4,'Adjustment scenario'!$D$10:$W$10,0))</f>
        <v>0</v>
      </c>
      <c r="M9" s="277">
        <f ca="1">INDEX(OFFSET('Adjustment scenario'!$D$1:$W$1,$D9-1,0),MATCH(M$4,'Adjustment scenario'!$D$10:$W$10,0))</f>
        <v>0</v>
      </c>
      <c r="N9" s="277">
        <f ca="1">INDEX(OFFSET('Adjustment scenario'!$D$1:$W$1,$D9-1,0),MATCH(N$4,'Adjustment scenario'!$D$10:$W$10,0))</f>
        <v>0</v>
      </c>
      <c r="O9" s="277">
        <f ca="1">INDEX(OFFSET('Adjustment scenario'!$D$1:$W$1,$D9-1,0),MATCH(O$4,'Adjustment scenario'!$D$10:$W$10,0))</f>
        <v>0</v>
      </c>
      <c r="P9" s="277">
        <f ca="1">INDEX(OFFSET('Adjustment scenario'!$D$1:$W$1,$D9-1,0),MATCH(P$4,'Adjustment scenario'!$D$10:$W$10,0))</f>
        <v>0</v>
      </c>
      <c r="Q9" s="277">
        <f ca="1">INDEX(OFFSET('Adjustment scenario'!$D$1:$W$1,$D9-1,0),MATCH(Q$4,'Adjustment scenario'!$D$10:$W$10,0))</f>
        <v>0</v>
      </c>
      <c r="R9" s="277">
        <f ca="1">INDEX(OFFSET('Adjustment scenario'!$D$1:$W$1,$D9-1,0),MATCH(R$4,'Adjustment scenario'!$D$10:$W$10,0))</f>
        <v>0</v>
      </c>
      <c r="S9" s="277">
        <f ca="1">INDEX(OFFSET('Adjustment scenario'!$D$1:$W$1,$D9-1,0),MATCH(S$4,'Adjustment scenario'!$D$10:$W$10,0))</f>
        <v>0</v>
      </c>
      <c r="T9" s="277">
        <f ca="1">INDEX(OFFSET('Adjustment scenario'!$D$1:$W$1,$D9-1,0),MATCH(T$4,'Adjustment scenario'!$D$10:$W$10,0))</f>
        <v>0</v>
      </c>
      <c r="U9" s="277">
        <f ca="1">INDEX(OFFSET('Adjustment scenario'!$D$1:$W$1,$D9-1,0),MATCH(U$4,'Adjustment scenario'!$D$10:$W$10,0))</f>
        <v>0</v>
      </c>
      <c r="V9" s="277">
        <f ca="1">INDEX(OFFSET('Adjustment scenario'!$D$1:$W$1,$D9-1,0),MATCH(V$4,'Adjustment scenario'!$D$10:$W$10,0))</f>
        <v>0</v>
      </c>
      <c r="W9" s="277">
        <f ca="1">INDEX(OFFSET('Adjustment scenario'!$D$1:$W$1,$D9-1,0),MATCH(W$4,'Adjustment scenario'!$D$10:$W$10,0))</f>
        <v>0</v>
      </c>
      <c r="X9" s="277">
        <f ca="1">INDEX(OFFSET('Adjustment scenario'!$D$1:$W$1,$D9-1,0),MATCH(X$4,'Adjustment scenario'!$D$10:$W$10,0))</f>
        <v>0</v>
      </c>
      <c r="Y9" s="191"/>
    </row>
    <row r="10" spans="1:25" x14ac:dyDescent="0.2">
      <c r="A10" s="191"/>
      <c r="B10" s="284">
        <v>6</v>
      </c>
      <c r="C10" s="288" t="s">
        <v>153</v>
      </c>
      <c r="D10" s="289">
        <v>68</v>
      </c>
      <c r="E10" s="290" t="s">
        <v>148</v>
      </c>
      <c r="F10" s="277">
        <f ca="1">INDEX(OFFSET('Adjustment scenario'!$D$1:$W$1,$D10-1,0),MATCH(F$4,'Adjustment scenario'!$D$10:$W$10,0))</f>
        <v>0.59124962330069897</v>
      </c>
      <c r="G10" s="277">
        <f ca="1">INDEX(OFFSET('Adjustment scenario'!$D$1:$W$1,$D10-1,0),MATCH(G$4,'Adjustment scenario'!$D$10:$W$10,0))</f>
        <v>0.78192213335374294</v>
      </c>
      <c r="H10" s="277">
        <f ca="1">INDEX(OFFSET('Adjustment scenario'!$D$1:$W$1,$D10-1,0),MATCH(H$4,'Adjustment scenario'!$D$10:$W$10,0))</f>
        <v>0.92085891730334535</v>
      </c>
      <c r="I10" s="277">
        <f ca="1">INDEX(OFFSET('Adjustment scenario'!$D$1:$W$1,$D10-1,0),MATCH(I$4,'Adjustment scenario'!$D$10:$W$10,0))</f>
        <v>1.1229130465840675</v>
      </c>
      <c r="J10" s="277">
        <f ca="1">INDEX(OFFSET('Adjustment scenario'!$D$1:$W$1,$D10-1,0),MATCH(J$4,'Adjustment scenario'!$D$10:$W$10,0))</f>
        <v>1.2307653000253795</v>
      </c>
      <c r="K10" s="277">
        <f ca="1">INDEX(OFFSET('Adjustment scenario'!$D$1:$W$1,$D10-1,0),MATCH(K$4,'Adjustment scenario'!$D$10:$W$10,0))</f>
        <v>1.2431038168638167</v>
      </c>
      <c r="L10" s="277">
        <f ca="1">INDEX(OFFSET('Adjustment scenario'!$D$1:$W$1,$D10-1,0),MATCH(L$4,'Adjustment scenario'!$D$10:$W$10,0))</f>
        <v>1.249280200393815</v>
      </c>
      <c r="M10" s="277">
        <f ca="1">INDEX(OFFSET('Adjustment scenario'!$D$1:$W$1,$D10-1,0),MATCH(M$4,'Adjustment scenario'!$D$10:$W$10,0))</f>
        <v>1.2611813479527862</v>
      </c>
      <c r="N10" s="277">
        <f ca="1">INDEX(OFFSET('Adjustment scenario'!$D$1:$W$1,$D10-1,0),MATCH(N$4,'Adjustment scenario'!$D$10:$W$10,0))</f>
        <v>1.2781154617209316</v>
      </c>
      <c r="O10" s="277">
        <f ca="1">INDEX(OFFSET('Adjustment scenario'!$D$1:$W$1,$D10-1,0),MATCH(O$4,'Adjustment scenario'!$D$10:$W$10,0))</f>
        <v>1.304085875636134</v>
      </c>
      <c r="P10" s="277">
        <f ca="1">INDEX(OFFSET('Adjustment scenario'!$D$1:$W$1,$D10-1,0),MATCH(P$4,'Adjustment scenario'!$D$10:$W$10,0))</f>
        <v>1.3392140727777078</v>
      </c>
      <c r="Q10" s="277">
        <f ca="1">INDEX(OFFSET('Adjustment scenario'!$D$1:$W$1,$D10-1,0),MATCH(Q$4,'Adjustment scenario'!$D$10:$W$10,0))</f>
        <v>1.3829174313542749</v>
      </c>
      <c r="R10" s="277">
        <f ca="1">INDEX(OFFSET('Adjustment scenario'!$D$1:$W$1,$D10-1,0),MATCH(R$4,'Adjustment scenario'!$D$10:$W$10,0))</f>
        <v>1.4312781962541841</v>
      </c>
      <c r="S10" s="277">
        <f ca="1">INDEX(OFFSET('Adjustment scenario'!$D$1:$W$1,$D10-1,0),MATCH(S$4,'Adjustment scenario'!$D$10:$W$10,0))</f>
        <v>1.4852286466466964</v>
      </c>
      <c r="T10" s="277">
        <f ca="1">INDEX(OFFSET('Adjustment scenario'!$D$1:$W$1,$D10-1,0),MATCH(T$4,'Adjustment scenario'!$D$10:$W$10,0))</f>
        <v>1.5443117618658573</v>
      </c>
      <c r="U10" s="277">
        <f ca="1">INDEX(OFFSET('Adjustment scenario'!$D$1:$W$1,$D10-1,0),MATCH(U$4,'Adjustment scenario'!$D$10:$W$10,0))</f>
        <v>1.6077186565885206</v>
      </c>
      <c r="V10" s="277">
        <f ca="1">INDEX(OFFSET('Adjustment scenario'!$D$1:$W$1,$D10-1,0),MATCH(V$4,'Adjustment scenario'!$D$10:$W$10,0))</f>
        <v>1.675845334469823</v>
      </c>
      <c r="W10" s="277">
        <f ca="1">INDEX(OFFSET('Adjustment scenario'!$D$1:$W$1,$D10-1,0),MATCH(W$4,'Adjustment scenario'!$D$10:$W$10,0))</f>
        <v>1.7493249793836156</v>
      </c>
      <c r="X10" s="277">
        <f ca="1">INDEX(OFFSET('Adjustment scenario'!$D$1:$W$1,$D10-1,0),MATCH(X$4,'Adjustment scenario'!$D$10:$W$10,0))</f>
        <v>1.8272254477124548</v>
      </c>
      <c r="Y10" s="191"/>
    </row>
    <row r="11" spans="1:25" x14ac:dyDescent="0.2">
      <c r="A11" s="191"/>
      <c r="B11" s="284">
        <v>7</v>
      </c>
      <c r="C11" s="291" t="s">
        <v>63</v>
      </c>
      <c r="D11" s="289">
        <v>37</v>
      </c>
      <c r="E11" s="290" t="s">
        <v>154</v>
      </c>
      <c r="F11" s="277">
        <f ca="1">INDEX(OFFSET('Adjustment scenario'!$D$1:$W$1,$D11-1,0),MATCH(F$4,'Adjustment scenario'!$D$10:$W$10,0))</f>
        <v>2.88</v>
      </c>
      <c r="G11" s="277">
        <f ca="1">INDEX(OFFSET('Adjustment scenario'!$D$1:$W$1,$D11-1,0),MATCH(G$4,'Adjustment scenario'!$D$10:$W$10,0))</f>
        <v>3.4270849999999999</v>
      </c>
      <c r="H11" s="277">
        <f ca="1">INDEX(OFFSET('Adjustment scenario'!$D$1:$W$1,$D11-1,0),MATCH(H$4,'Adjustment scenario'!$D$10:$W$10,0))</f>
        <v>3.0076990000000001</v>
      </c>
      <c r="I11" s="277">
        <f ca="1">INDEX(OFFSET('Adjustment scenario'!$D$1:$W$1,$D11-1,0),MATCH(I$4,'Adjustment scenario'!$D$10:$W$10,0))</f>
        <v>3.1136879999999998</v>
      </c>
      <c r="J11" s="277">
        <f ca="1">INDEX(OFFSET('Adjustment scenario'!$D$1:$W$1,$D11-1,0),MATCH(J$4,'Adjustment scenario'!$D$10:$W$10,0))</f>
        <v>3.2113594999999999</v>
      </c>
      <c r="K11" s="277">
        <f ca="1">INDEX(OFFSET('Adjustment scenario'!$D$1:$W$1,$D11-1,0),MATCH(K$4,'Adjustment scenario'!$D$10:$W$10,0))</f>
        <v>3.3090310000000001</v>
      </c>
      <c r="L11" s="277">
        <f ca="1">INDEX(OFFSET('Adjustment scenario'!$D$1:$W$1,$D11-1,0),MATCH(L$4,'Adjustment scenario'!$D$10:$W$10,0))</f>
        <v>3.4067025000000002</v>
      </c>
      <c r="M11" s="277">
        <f ca="1">INDEX(OFFSET('Adjustment scenario'!$D$1:$W$1,$D11-1,0),MATCH(M$4,'Adjustment scenario'!$D$10:$W$10,0))</f>
        <v>3.5043740000000003</v>
      </c>
      <c r="N11" s="277">
        <f ca="1">INDEX(OFFSET('Adjustment scenario'!$D$1:$W$1,$D11-1,0),MATCH(N$4,'Adjustment scenario'!$D$10:$W$10,0))</f>
        <v>3.6020455000000005</v>
      </c>
      <c r="O11" s="277">
        <f ca="1">INDEX(OFFSET('Adjustment scenario'!$D$1:$W$1,$D11-1,0),MATCH(O$4,'Adjustment scenario'!$D$10:$W$10,0))</f>
        <v>3.6997170000000006</v>
      </c>
      <c r="P11" s="277">
        <f ca="1">INDEX(OFFSET('Adjustment scenario'!$D$1:$W$1,$D11-1,0),MATCH(P$4,'Adjustment scenario'!$D$10:$W$10,0))</f>
        <v>3.7973885000000007</v>
      </c>
      <c r="Q11" s="277">
        <f ca="1">INDEX(OFFSET('Adjustment scenario'!$D$1:$W$1,$D11-1,0),MATCH(Q$4,'Adjustment scenario'!$D$10:$W$10,0))</f>
        <v>3.89506</v>
      </c>
      <c r="R11" s="277">
        <f ca="1">INDEX(OFFSET('Adjustment scenario'!$D$1:$W$1,$D11-1,0),MATCH(R$4,'Adjustment scenario'!$D$10:$W$10,0))</f>
        <v>3.9003069999999997</v>
      </c>
      <c r="S11" s="277">
        <f ca="1">INDEX(OFFSET('Adjustment scenario'!$D$1:$W$1,$D11-1,0),MATCH(S$4,'Adjustment scenario'!$D$10:$W$10,0))</f>
        <v>3.905554</v>
      </c>
      <c r="T11" s="277">
        <f ca="1">INDEX(OFFSET('Adjustment scenario'!$D$1:$W$1,$D11-1,0),MATCH(T$4,'Adjustment scenario'!$D$10:$W$10,0))</f>
        <v>3.9108010000000002</v>
      </c>
      <c r="U11" s="277">
        <f ca="1">INDEX(OFFSET('Adjustment scenario'!$D$1:$W$1,$D11-1,0),MATCH(U$4,'Adjustment scenario'!$D$10:$W$10,0))</f>
        <v>3.916048</v>
      </c>
      <c r="V11" s="277">
        <f ca="1">INDEX(OFFSET('Adjustment scenario'!$D$1:$W$1,$D11-1,0),MATCH(V$4,'Adjustment scenario'!$D$10:$W$10,0))</f>
        <v>3.9212949999999998</v>
      </c>
      <c r="W11" s="277">
        <f ca="1">INDEX(OFFSET('Adjustment scenario'!$D$1:$W$1,$D11-1,0),MATCH(W$4,'Adjustment scenario'!$D$10:$W$10,0))</f>
        <v>3.926542</v>
      </c>
      <c r="X11" s="277">
        <f ca="1">INDEX(OFFSET('Adjustment scenario'!$D$1:$W$1,$D11-1,0),MATCH(X$4,'Adjustment scenario'!$D$10:$W$10,0))</f>
        <v>3.9317890000000002</v>
      </c>
      <c r="Y11" s="191"/>
    </row>
    <row r="12" spans="1:25" x14ac:dyDescent="0.2">
      <c r="A12" s="191"/>
      <c r="B12" s="284">
        <v>8</v>
      </c>
      <c r="C12" s="291" t="s">
        <v>64</v>
      </c>
      <c r="D12" s="289">
        <v>38</v>
      </c>
      <c r="E12" s="290" t="s">
        <v>154</v>
      </c>
      <c r="F12" s="277">
        <f ca="1">INDEX(OFFSET('Adjustment scenario'!$D$1:$W$1,$D12-1,0),MATCH(F$4,'Adjustment scenario'!$D$10:$W$10,0))</f>
        <v>3.43</v>
      </c>
      <c r="G12" s="277">
        <f ca="1">INDEX(OFFSET('Adjustment scenario'!$D$1:$W$1,$D12-1,0),MATCH(G$4,'Adjustment scenario'!$D$10:$W$10,0))</f>
        <v>3.5292500000000002</v>
      </c>
      <c r="H12" s="277">
        <f ca="1">INDEX(OFFSET('Adjustment scenario'!$D$1:$W$1,$D12-1,0),MATCH(H$4,'Adjustment scenario'!$D$10:$W$10,0))</f>
        <v>2.0662500000000001</v>
      </c>
      <c r="I12" s="277">
        <f ca="1">INDEX(OFFSET('Adjustment scenario'!$D$1:$W$1,$D12-1,0),MATCH(I$4,'Adjustment scenario'!$D$10:$W$10,0))</f>
        <v>1.9957499999999999</v>
      </c>
      <c r="J12" s="277">
        <f ca="1">INDEX(OFFSET('Adjustment scenario'!$D$1:$W$1,$D12-1,0),MATCH(J$4,'Adjustment scenario'!$D$10:$W$10,0))</f>
        <v>2.079285</v>
      </c>
      <c r="K12" s="277">
        <f ca="1">INDEX(OFFSET('Adjustment scenario'!$D$1:$W$1,$D12-1,0),MATCH(K$4,'Adjustment scenario'!$D$10:$W$10,0))</f>
        <v>2.16282</v>
      </c>
      <c r="L12" s="277">
        <f ca="1">INDEX(OFFSET('Adjustment scenario'!$D$1:$W$1,$D12-1,0),MATCH(L$4,'Adjustment scenario'!$D$10:$W$10,0))</f>
        <v>2.2463549999999999</v>
      </c>
      <c r="M12" s="277">
        <f ca="1">INDEX(OFFSET('Adjustment scenario'!$D$1:$W$1,$D12-1,0),MATCH(M$4,'Adjustment scenario'!$D$10:$W$10,0))</f>
        <v>2.3298899999999998</v>
      </c>
      <c r="N12" s="277">
        <f ca="1">INDEX(OFFSET('Adjustment scenario'!$D$1:$W$1,$D12-1,0),MATCH(N$4,'Adjustment scenario'!$D$10:$W$10,0))</f>
        <v>2.4134249999999997</v>
      </c>
      <c r="O12" s="277">
        <f ca="1">INDEX(OFFSET('Adjustment scenario'!$D$1:$W$1,$D12-1,0),MATCH(O$4,'Adjustment scenario'!$D$10:$W$10,0))</f>
        <v>2.4969599999999996</v>
      </c>
      <c r="P12" s="277">
        <f ca="1">INDEX(OFFSET('Adjustment scenario'!$D$1:$W$1,$D12-1,0),MATCH(P$4,'Adjustment scenario'!$D$10:$W$10,0))</f>
        <v>2.5804949999999995</v>
      </c>
      <c r="Q12" s="277">
        <f ca="1">INDEX(OFFSET('Adjustment scenario'!$D$1:$W$1,$D12-1,0),MATCH(Q$4,'Adjustment scenario'!$D$10:$W$10,0))</f>
        <v>2.6640299999999999</v>
      </c>
      <c r="R12" s="277">
        <f ca="1">INDEX(OFFSET('Adjustment scenario'!$D$1:$W$1,$D12-1,0),MATCH(R$4,'Adjustment scenario'!$D$10:$W$10,0))</f>
        <v>2.6308284999999998</v>
      </c>
      <c r="S12" s="277">
        <f ca="1">INDEX(OFFSET('Adjustment scenario'!$D$1:$W$1,$D12-1,0),MATCH(S$4,'Adjustment scenario'!$D$10:$W$10,0))</f>
        <v>2.5976270000000001</v>
      </c>
      <c r="T12" s="277">
        <f ca="1">INDEX(OFFSET('Adjustment scenario'!$D$1:$W$1,$D12-1,0),MATCH(T$4,'Adjustment scenario'!$D$10:$W$10,0))</f>
        <v>2.5644255</v>
      </c>
      <c r="U12" s="277">
        <f ca="1">INDEX(OFFSET('Adjustment scenario'!$D$1:$W$1,$D12-1,0),MATCH(U$4,'Adjustment scenario'!$D$10:$W$10,0))</f>
        <v>2.5312239999999999</v>
      </c>
      <c r="V12" s="277">
        <f ca="1">INDEX(OFFSET('Adjustment scenario'!$D$1:$W$1,$D12-1,0),MATCH(V$4,'Adjustment scenario'!$D$10:$W$10,0))</f>
        <v>2.4980224999999998</v>
      </c>
      <c r="W12" s="277">
        <f ca="1">INDEX(OFFSET('Adjustment scenario'!$D$1:$W$1,$D12-1,0),MATCH(W$4,'Adjustment scenario'!$D$10:$W$10,0))</f>
        <v>2.4648209999999997</v>
      </c>
      <c r="X12" s="277">
        <f ca="1">INDEX(OFFSET('Adjustment scenario'!$D$1:$W$1,$D12-1,0),MATCH(X$4,'Adjustment scenario'!$D$10:$W$10,0))</f>
        <v>2.4316195</v>
      </c>
      <c r="Y12" s="191"/>
    </row>
    <row r="13" spans="1:25" x14ac:dyDescent="0.2">
      <c r="A13" s="191"/>
      <c r="B13" s="284">
        <v>9</v>
      </c>
      <c r="C13" s="288" t="s">
        <v>155</v>
      </c>
      <c r="D13" s="289">
        <v>36</v>
      </c>
      <c r="E13" s="290" t="s">
        <v>154</v>
      </c>
      <c r="F13" s="277">
        <f ca="1">INDEX(OFFSET('Adjustment scenario'!$D$1:$W$1,$D13-1,0),MATCH(F$4,'Adjustment scenario'!$D$10:$W$10,0))</f>
        <v>1.699492</v>
      </c>
      <c r="G13" s="277">
        <f ca="1">INDEX(OFFSET('Adjustment scenario'!$D$1:$W$1,$D13-1,0),MATCH(G$4,'Adjustment scenario'!$D$10:$W$10,0))</f>
        <v>2.2164999999999999</v>
      </c>
      <c r="H13" s="277">
        <f ca="1">INDEX(OFFSET('Adjustment scenario'!$D$1:$W$1,$D13-1,0),MATCH(H$4,'Adjustment scenario'!$D$10:$W$10,0))</f>
        <v>2.5547230000000001</v>
      </c>
      <c r="I13" s="277">
        <f ca="1">INDEX(OFFSET('Adjustment scenario'!$D$1:$W$1,$D13-1,0),MATCH(I$4,'Adjustment scenario'!$D$10:$W$10,0))</f>
        <v>2.8932796137143195</v>
      </c>
      <c r="J13" s="277">
        <f ca="1">INDEX(OFFSET('Adjustment scenario'!$D$1:$W$1,$D13-1,0),MATCH(J$4,'Adjustment scenario'!$D$10:$W$10,0))</f>
        <v>2.9559423549637596</v>
      </c>
      <c r="K13" s="277">
        <f ca="1">INDEX(OFFSET('Adjustment scenario'!$D$1:$W$1,$D13-1,0),MATCH(K$4,'Adjustment scenario'!$D$10:$W$10,0))</f>
        <v>3.0016280918303835</v>
      </c>
      <c r="L13" s="277">
        <f ca="1">INDEX(OFFSET('Adjustment scenario'!$D$1:$W$1,$D13-1,0),MATCH(L$4,'Adjustment scenario'!$D$10:$W$10,0))</f>
        <v>3.0514426520075948</v>
      </c>
      <c r="M13" s="277">
        <f ca="1">INDEX(OFFSET('Adjustment scenario'!$D$1:$W$1,$D13-1,0),MATCH(M$4,'Adjustment scenario'!$D$10:$W$10,0))</f>
        <v>3.1072545889112537</v>
      </c>
      <c r="N13" s="277">
        <f ca="1">INDEX(OFFSET('Adjustment scenario'!$D$1:$W$1,$D13-1,0),MATCH(N$4,'Adjustment scenario'!$D$10:$W$10,0))</f>
        <v>3.1684217186908108</v>
      </c>
      <c r="O13" s="277">
        <f ca="1">INDEX(OFFSET('Adjustment scenario'!$D$1:$W$1,$D13-1,0),MATCH(O$4,'Adjustment scenario'!$D$10:$W$10,0))</f>
        <v>3.234421180918706</v>
      </c>
      <c r="P13" s="277">
        <f ca="1">INDEX(OFFSET('Adjustment scenario'!$D$1:$W$1,$D13-1,0),MATCH(P$4,'Adjustment scenario'!$D$10:$W$10,0))</f>
        <v>3.3061296137632215</v>
      </c>
      <c r="Q13" s="277">
        <f ca="1">INDEX(OFFSET('Adjustment scenario'!$D$1:$W$1,$D13-1,0),MATCH(Q$4,'Adjustment scenario'!$D$10:$W$10,0))</f>
        <v>3.3829308710229453</v>
      </c>
      <c r="R13" s="277">
        <f ca="1">INDEX(OFFSET('Adjustment scenario'!$D$1:$W$1,$D13-1,0),MATCH(R$4,'Adjustment scenario'!$D$10:$W$10,0))</f>
        <v>3.451469358609959</v>
      </c>
      <c r="S13" s="277">
        <f ca="1">INDEX(OFFSET('Adjustment scenario'!$D$1:$W$1,$D13-1,0),MATCH(S$4,'Adjustment scenario'!$D$10:$W$10,0))</f>
        <v>3.513205650318751</v>
      </c>
      <c r="T13" s="277">
        <f ca="1">INDEX(OFFSET('Adjustment scenario'!$D$1:$W$1,$D13-1,0),MATCH(T$4,'Adjustment scenario'!$D$10:$W$10,0))</f>
        <v>3.5683555819210486</v>
      </c>
      <c r="U13" s="277">
        <f ca="1">INDEX(OFFSET('Adjustment scenario'!$D$1:$W$1,$D13-1,0),MATCH(U$4,'Adjustment scenario'!$D$10:$W$10,0))</f>
        <v>3.6171754148881576</v>
      </c>
      <c r="V13" s="277">
        <f ca="1">INDEX(OFFSET('Adjustment scenario'!$D$1:$W$1,$D13-1,0),MATCH(V$4,'Adjustment scenario'!$D$10:$W$10,0))</f>
        <v>3.6602897389267355</v>
      </c>
      <c r="W13" s="277">
        <f ca="1">INDEX(OFFSET('Adjustment scenario'!$D$1:$W$1,$D13-1,0),MATCH(W$4,'Adjustment scenario'!$D$10:$W$10,0))</f>
        <v>3.6983245134953737</v>
      </c>
      <c r="X13" s="277">
        <f ca="1">INDEX(OFFSET('Adjustment scenario'!$D$1:$W$1,$D13-1,0),MATCH(X$4,'Adjustment scenario'!$D$10:$W$10,0))</f>
        <v>3.7318057188341536</v>
      </c>
      <c r="Y13" s="191"/>
    </row>
    <row r="14" spans="1:25" x14ac:dyDescent="0.2">
      <c r="A14" s="191"/>
      <c r="B14" s="284">
        <v>10</v>
      </c>
      <c r="C14" s="288" t="s">
        <v>156</v>
      </c>
      <c r="D14" s="289">
        <v>72</v>
      </c>
      <c r="E14" s="290" t="s">
        <v>148</v>
      </c>
      <c r="F14" s="277">
        <f ca="1">INDEX(OFFSET('Adjustment scenario'!$D$1:$W$1,$D14-1,0),MATCH(F$4,'Adjustment scenario'!$D$10:$W$10,0))</f>
        <v>1.865075</v>
      </c>
      <c r="G14" s="277">
        <f ca="1">INDEX(OFFSET('Adjustment scenario'!$D$1:$W$1,$D14-1,0),MATCH(G$4,'Adjustment scenario'!$D$10:$W$10,0))</f>
        <v>0.94640139999999995</v>
      </c>
      <c r="H14" s="277">
        <f ca="1">INDEX(OFFSET('Adjustment scenario'!$D$1:$W$1,$D14-1,0),MATCH(H$4,'Adjustment scenario'!$D$10:$W$10,0))</f>
        <v>2.7174999999999998</v>
      </c>
      <c r="I14" s="277">
        <f ca="1">INDEX(OFFSET('Adjustment scenario'!$D$1:$W$1,$D14-1,0),MATCH(I$4,'Adjustment scenario'!$D$10:$W$10,0))</f>
        <v>3.073</v>
      </c>
      <c r="J14" s="277">
        <f ca="1">INDEX(OFFSET('Adjustment scenario'!$D$1:$W$1,$D14-1,0),MATCH(J$4,'Adjustment scenario'!$D$10:$W$10,0))</f>
        <v>0</v>
      </c>
      <c r="K14" s="277">
        <f ca="1">INDEX(OFFSET('Adjustment scenario'!$D$1:$W$1,$D14-1,0),MATCH(K$4,'Adjustment scenario'!$D$10:$W$10,0))</f>
        <v>0</v>
      </c>
      <c r="L14" s="277">
        <f ca="1">INDEX(OFFSET('Adjustment scenario'!$D$1:$W$1,$D14-1,0),MATCH(L$4,'Adjustment scenario'!$D$10:$W$10,0))</f>
        <v>0</v>
      </c>
      <c r="M14" s="277">
        <f ca="1">INDEX(OFFSET('Adjustment scenario'!$D$1:$W$1,$D14-1,0),MATCH(M$4,'Adjustment scenario'!$D$10:$W$10,0))</f>
        <v>0</v>
      </c>
      <c r="N14" s="277">
        <f ca="1">INDEX(OFFSET('Adjustment scenario'!$D$1:$W$1,$D14-1,0),MATCH(N$4,'Adjustment scenario'!$D$10:$W$10,0))</f>
        <v>0</v>
      </c>
      <c r="O14" s="277">
        <f ca="1">INDEX(OFFSET('Adjustment scenario'!$D$1:$W$1,$D14-1,0),MATCH(O$4,'Adjustment scenario'!$D$10:$W$10,0))</f>
        <v>0</v>
      </c>
      <c r="P14" s="277">
        <f ca="1">INDEX(OFFSET('Adjustment scenario'!$D$1:$W$1,$D14-1,0),MATCH(P$4,'Adjustment scenario'!$D$10:$W$10,0))</f>
        <v>0</v>
      </c>
      <c r="Q14" s="277">
        <f ca="1">INDEX(OFFSET('Adjustment scenario'!$D$1:$W$1,$D14-1,0),MATCH(Q$4,'Adjustment scenario'!$D$10:$W$10,0))</f>
        <v>0</v>
      </c>
      <c r="R14" s="277">
        <f ca="1">INDEX(OFFSET('Adjustment scenario'!$D$1:$W$1,$D14-1,0),MATCH(R$4,'Adjustment scenario'!$D$10:$W$10,0))</f>
        <v>0</v>
      </c>
      <c r="S14" s="277">
        <f ca="1">INDEX(OFFSET('Adjustment scenario'!$D$1:$W$1,$D14-1,0),MATCH(S$4,'Adjustment scenario'!$D$10:$W$10,0))</f>
        <v>0</v>
      </c>
      <c r="T14" s="277">
        <f ca="1">INDEX(OFFSET('Adjustment scenario'!$D$1:$W$1,$D14-1,0),MATCH(T$4,'Adjustment scenario'!$D$10:$W$10,0))</f>
        <v>0</v>
      </c>
      <c r="U14" s="277">
        <f ca="1">INDEX(OFFSET('Adjustment scenario'!$D$1:$W$1,$D14-1,0),MATCH(U$4,'Adjustment scenario'!$D$10:$W$10,0))</f>
        <v>0</v>
      </c>
      <c r="V14" s="277">
        <f ca="1">INDEX(OFFSET('Adjustment scenario'!$D$1:$W$1,$D14-1,0),MATCH(V$4,'Adjustment scenario'!$D$10:$W$10,0))</f>
        <v>0</v>
      </c>
      <c r="W14" s="277">
        <f ca="1">INDEX(OFFSET('Adjustment scenario'!$D$1:$W$1,$D14-1,0),MATCH(W$4,'Adjustment scenario'!$D$10:$W$10,0))</f>
        <v>0</v>
      </c>
      <c r="X14" s="277">
        <f ca="1">INDEX(OFFSET('Adjustment scenario'!$D$1:$W$1,$D14-1,0),MATCH(X$4,'Adjustment scenario'!$D$10:$W$10,0))</f>
        <v>0</v>
      </c>
      <c r="Y14" s="191"/>
    </row>
    <row r="15" spans="1:25" x14ac:dyDescent="0.2">
      <c r="A15" s="191"/>
      <c r="B15" s="284">
        <v>11</v>
      </c>
      <c r="C15" s="292" t="s">
        <v>40</v>
      </c>
      <c r="D15" s="289">
        <v>27</v>
      </c>
      <c r="E15" s="290" t="s">
        <v>157</v>
      </c>
      <c r="F15" s="277">
        <f ca="1">(INDEX(OFFSET('Adjustment scenario'!$D$1:$W$1,$D15-1,0),MATCH(F$4,'Adjustment scenario'!$D$10:$W$10,0))/INDEX(OFFSET('Adjustment scenario'!$D$1:$W$1,$D15-1,0),MATCH(E$4,'Adjustment scenario'!$D$10:$W$10,0))-1)*100</f>
        <v>3.3423690000000006</v>
      </c>
      <c r="G15" s="277">
        <f ca="1">(INDEX(OFFSET('Adjustment scenario'!$D$1:$W$1,$D15-1,0),MATCH(G$4,'Adjustment scenario'!$D$10:$W$10,0))/INDEX(OFFSET('Adjustment scenario'!$D$1:$W$1,$D15-1,0),MATCH(F$4,'Adjustment scenario'!$D$10:$W$10,0))-1)*100</f>
        <v>2.3658119999999894</v>
      </c>
      <c r="H15" s="277">
        <f ca="1">(INDEX(OFFSET('Adjustment scenario'!$D$1:$W$1,$D15-1,0),MATCH(H$4,'Adjustment scenario'!$D$10:$W$10,0))/INDEX(OFFSET('Adjustment scenario'!$D$1:$W$1,$D15-1,0),MATCH(G$4,'Adjustment scenario'!$D$10:$W$10,0))-1)*100</f>
        <v>2.5020129999999918</v>
      </c>
      <c r="I15" s="277">
        <f ca="1">(INDEX(OFFSET('Adjustment scenario'!$D$1:$W$1,$D15-1,0),MATCH(I$4,'Adjustment scenario'!$D$10:$W$10,0))/INDEX(OFFSET('Adjustment scenario'!$D$1:$W$1,$D15-1,0),MATCH(H$4,'Adjustment scenario'!$D$10:$W$10,0))-1)*100</f>
        <v>2.1233400000000069</v>
      </c>
      <c r="J15" s="277">
        <f ca="1">(INDEX(OFFSET('Adjustment scenario'!$D$1:$W$1,$D15-1,0),MATCH(J$4,'Adjustment scenario'!$D$10:$W$10,0))/INDEX(OFFSET('Adjustment scenario'!$D$1:$W$1,$D15-1,0),MATCH(I$4,'Adjustment scenario'!$D$10:$W$10,0))-1)*100</f>
        <v>2.1318940000000008</v>
      </c>
      <c r="K15" s="277">
        <f ca="1">(INDEX(OFFSET('Adjustment scenario'!$D$1:$W$1,$D15-1,0),MATCH(K$4,'Adjustment scenario'!$D$10:$W$10,0))/INDEX(OFFSET('Adjustment scenario'!$D$1:$W$1,$D15-1,0),MATCH(J$4,'Adjustment scenario'!$D$10:$W$10,0))-1)*100</f>
        <v>1.7966740000000092</v>
      </c>
      <c r="L15" s="277">
        <f ca="1">(INDEX(OFFSET('Adjustment scenario'!$D$1:$W$1,$D15-1,0),MATCH(L$4,'Adjustment scenario'!$D$10:$W$10,0))/INDEX(OFFSET('Adjustment scenario'!$D$1:$W$1,$D15-1,0),MATCH(K$4,'Adjustment scenario'!$D$10:$W$10,0))-1)*100</f>
        <v>1.7906430000000029</v>
      </c>
      <c r="M15" s="277">
        <f ca="1">(INDEX(OFFSET('Adjustment scenario'!$D$1:$W$1,$D15-1,0),MATCH(M$4,'Adjustment scenario'!$D$10:$W$10,0))/INDEX(OFFSET('Adjustment scenario'!$D$1:$W$1,$D15-1,0),MATCH(L$4,'Adjustment scenario'!$D$10:$W$10,0))-1)*100</f>
        <v>1.6801889999999986</v>
      </c>
      <c r="N15" s="277">
        <f ca="1">(INDEX(OFFSET('Adjustment scenario'!$D$1:$W$1,$D15-1,0),MATCH(N$4,'Adjustment scenario'!$D$10:$W$10,0))/INDEX(OFFSET('Adjustment scenario'!$D$1:$W$1,$D15-1,0),MATCH(M$4,'Adjustment scenario'!$D$10:$W$10,0))-1)*100</f>
        <v>1.6257509999999975</v>
      </c>
      <c r="O15" s="277">
        <f ca="1">(INDEX(OFFSET('Adjustment scenario'!$D$1:$W$1,$D15-1,0),MATCH(O$4,'Adjustment scenario'!$D$10:$W$10,0))/INDEX(OFFSET('Adjustment scenario'!$D$1:$W$1,$D15-1,0),MATCH(N$4,'Adjustment scenario'!$D$10:$W$10,0))-1)*100</f>
        <v>1.5743440000000053</v>
      </c>
      <c r="P15" s="277">
        <f ca="1">(INDEX(OFFSET('Adjustment scenario'!$D$1:$W$1,$D15-1,0),MATCH(P$4,'Adjustment scenario'!$D$10:$W$10,0))/INDEX(OFFSET('Adjustment scenario'!$D$1:$W$1,$D15-1,0),MATCH(O$4,'Adjustment scenario'!$D$10:$W$10,0))-1)*100</f>
        <v>1.5709060000000052</v>
      </c>
      <c r="Q15" s="277">
        <f ca="1">(INDEX(OFFSET('Adjustment scenario'!$D$1:$W$1,$D15-1,0),MATCH(Q$4,'Adjustment scenario'!$D$10:$W$10,0))/INDEX(OFFSET('Adjustment scenario'!$D$1:$W$1,$D15-1,0),MATCH(P$4,'Adjustment scenario'!$D$10:$W$10,0))-1)*100</f>
        <v>1.6214409999999901</v>
      </c>
      <c r="R15" s="277">
        <f ca="1">(INDEX(OFFSET('Adjustment scenario'!$D$1:$W$1,$D15-1,0),MATCH(R$4,'Adjustment scenario'!$D$10:$W$10,0))/INDEX(OFFSET('Adjustment scenario'!$D$1:$W$1,$D15-1,0),MATCH(Q$4,'Adjustment scenario'!$D$10:$W$10,0))-1)*100</f>
        <v>1.5645769999999892</v>
      </c>
      <c r="S15" s="277">
        <f ca="1">(INDEX(OFFSET('Adjustment scenario'!$D$1:$W$1,$D15-1,0),MATCH(S$4,'Adjustment scenario'!$D$10:$W$10,0))/INDEX(OFFSET('Adjustment scenario'!$D$1:$W$1,$D15-1,0),MATCH(R$4,'Adjustment scenario'!$D$10:$W$10,0))-1)*100</f>
        <v>1.5077140000000044</v>
      </c>
      <c r="T15" s="277">
        <f ca="1">(INDEX(OFFSET('Adjustment scenario'!$D$1:$W$1,$D15-1,0),MATCH(T$4,'Adjustment scenario'!$D$10:$W$10,0))/INDEX(OFFSET('Adjustment scenario'!$D$1:$W$1,$D15-1,0),MATCH(S$4,'Adjustment scenario'!$D$10:$W$10,0))-1)*100</f>
        <v>1.4508500000000035</v>
      </c>
      <c r="U15" s="277">
        <f ca="1">(INDEX(OFFSET('Adjustment scenario'!$D$1:$W$1,$D15-1,0),MATCH(U$4,'Adjustment scenario'!$D$10:$W$10,0))/INDEX(OFFSET('Adjustment scenario'!$D$1:$W$1,$D15-1,0),MATCH(T$4,'Adjustment scenario'!$D$10:$W$10,0))-1)*100</f>
        <v>1.3712039999999925</v>
      </c>
      <c r="V15" s="277">
        <f ca="1">(INDEX(OFFSET('Adjustment scenario'!$D$1:$W$1,$D15-1,0),MATCH(V$4,'Adjustment scenario'!$D$10:$W$10,0))/INDEX(OFFSET('Adjustment scenario'!$D$1:$W$1,$D15-1,0),MATCH(U$4,'Adjustment scenario'!$D$10:$W$10,0))-1)*100</f>
        <v>1.2780199999999908</v>
      </c>
      <c r="W15" s="277">
        <f ca="1">(INDEX(OFFSET('Adjustment scenario'!$D$1:$W$1,$D15-1,0),MATCH(W$4,'Adjustment scenario'!$D$10:$W$10,0))/INDEX(OFFSET('Adjustment scenario'!$D$1:$W$1,$D15-1,0),MATCH(V$4,'Adjustment scenario'!$D$10:$W$10,0))-1)*100</f>
        <v>1.1673700000000009</v>
      </c>
      <c r="X15" s="277">
        <f ca="1">(INDEX(OFFSET('Adjustment scenario'!$D$1:$W$1,$D15-1,0),MATCH(X$4,'Adjustment scenario'!$D$10:$W$10,0))/INDEX(OFFSET('Adjustment scenario'!$D$1:$W$1,$D15-1,0),MATCH(W$4,'Adjustment scenario'!$D$10:$W$10,0))-1)*100</f>
        <v>1.0959769999999924</v>
      </c>
      <c r="Y15" s="191"/>
    </row>
    <row r="16" spans="1:25" x14ac:dyDescent="0.2">
      <c r="A16" s="191"/>
      <c r="B16" s="284">
        <v>12</v>
      </c>
      <c r="C16" s="280" t="s">
        <v>158</v>
      </c>
      <c r="D16" s="289">
        <v>24</v>
      </c>
      <c r="E16" s="290" t="s">
        <v>157</v>
      </c>
      <c r="F16" s="277">
        <f ca="1">INDEX(OFFSET('Adjustment scenario'!$D$1:$W$1,$D16-1,0),MATCH(F$4,'Adjustment scenario'!$D$10:$W$10,0))</f>
        <v>0.34227229999999997</v>
      </c>
      <c r="G16" s="277">
        <f ca="1">INDEX(OFFSET('Adjustment scenario'!$D$1:$W$1,$D16-1,0),MATCH(G$4,'Adjustment scenario'!$D$10:$W$10,0))</f>
        <v>2.167764</v>
      </c>
      <c r="H16" s="277">
        <f ca="1">INDEX(OFFSET('Adjustment scenario'!$D$1:$W$1,$D16-1,0),MATCH(H$4,'Adjustment scenario'!$D$10:$W$10,0))</f>
        <v>2.5780230000000071</v>
      </c>
      <c r="I16" s="277">
        <f ca="1">INDEX(OFFSET('Adjustment scenario'!$D$1:$W$1,$D16-1,0),MATCH(I$4,'Adjustment scenario'!$D$10:$W$10,0))</f>
        <v>2.7297940087311234</v>
      </c>
      <c r="J16" s="277">
        <f ca="1">INDEX(OFFSET('Adjustment scenario'!$D$1:$W$1,$D16-1,0),MATCH(J$4,'Adjustment scenario'!$D$10:$W$10,0))</f>
        <v>2.5536288991327538</v>
      </c>
      <c r="K16" s="277">
        <f ca="1">INDEX(OFFSET('Adjustment scenario'!$D$1:$W$1,$D16-1,0),MATCH(K$4,'Adjustment scenario'!$D$10:$W$10,0))</f>
        <v>2.0748696368843689</v>
      </c>
      <c r="L16" s="277">
        <f ca="1">INDEX(OFFSET('Adjustment scenario'!$D$1:$W$1,$D16-1,0),MATCH(L$4,'Adjustment scenario'!$D$10:$W$10,0))</f>
        <v>2.0952561965955852</v>
      </c>
      <c r="M16" s="277">
        <f ca="1">INDEX(OFFSET('Adjustment scenario'!$D$1:$W$1,$D16-1,0),MATCH(M$4,'Adjustment scenario'!$D$10:$W$10,0))</f>
        <v>1.9835637948297569</v>
      </c>
      <c r="N16" s="277">
        <f ca="1">INDEX(OFFSET('Adjustment scenario'!$D$1:$W$1,$D16-1,0),MATCH(N$4,'Adjustment scenario'!$D$10:$W$10,0))</f>
        <v>1.9280613940657387</v>
      </c>
      <c r="O16" s="277">
        <f ca="1">INDEX(OFFSET('Adjustment scenario'!$D$1:$W$1,$D16-1,0),MATCH(O$4,'Adjustment scenario'!$D$10:$W$10,0))</f>
        <v>1.5743449999999992</v>
      </c>
      <c r="P16" s="277">
        <f ca="1">INDEX(OFFSET('Adjustment scenario'!$D$1:$W$1,$D16-1,0),MATCH(P$4,'Adjustment scenario'!$D$10:$W$10,0))</f>
        <v>1.5709090000000092</v>
      </c>
      <c r="Q16" s="277">
        <f ca="1">INDEX(OFFSET('Adjustment scenario'!$D$1:$W$1,$D16-1,0),MATCH(Q$4,'Adjustment scenario'!$D$10:$W$10,0))</f>
        <v>1.6214399999999962</v>
      </c>
      <c r="R16" s="277">
        <f ca="1">INDEX(OFFSET('Adjustment scenario'!$D$1:$W$1,$D16-1,0),MATCH(R$4,'Adjustment scenario'!$D$10:$W$10,0))</f>
        <v>1.5645759999999953</v>
      </c>
      <c r="S16" s="277">
        <f ca="1">INDEX(OFFSET('Adjustment scenario'!$D$1:$W$1,$D16-1,0),MATCH(S$4,'Adjustment scenario'!$D$10:$W$10,0))</f>
        <v>1.5077140000000044</v>
      </c>
      <c r="T16" s="277">
        <f ca="1">INDEX(OFFSET('Adjustment scenario'!$D$1:$W$1,$D16-1,0),MATCH(T$4,'Adjustment scenario'!$D$10:$W$10,0))</f>
        <v>1.4508490000000096</v>
      </c>
      <c r="U16" s="277">
        <f ca="1">INDEX(OFFSET('Adjustment scenario'!$D$1:$W$1,$D16-1,0),MATCH(U$4,'Adjustment scenario'!$D$10:$W$10,0))</f>
        <v>1.3712060000000026</v>
      </c>
      <c r="V16" s="277">
        <f ca="1">INDEX(OFFSET('Adjustment scenario'!$D$1:$W$1,$D16-1,0),MATCH(V$4,'Adjustment scenario'!$D$10:$W$10,0))</f>
        <v>1.2780170000000091</v>
      </c>
      <c r="W16" s="277">
        <f ca="1">INDEX(OFFSET('Adjustment scenario'!$D$1:$W$1,$D16-1,0),MATCH(W$4,'Adjustment scenario'!$D$10:$W$10,0))</f>
        <v>1.1673700000000009</v>
      </c>
      <c r="X16" s="277">
        <f ca="1">INDEX(OFFSET('Adjustment scenario'!$D$1:$W$1,$D16-1,0),MATCH(X$4,'Adjustment scenario'!$D$10:$W$10,0))</f>
        <v>1.0959769999999924</v>
      </c>
      <c r="Y16" s="191"/>
    </row>
    <row r="17" spans="1:25" x14ac:dyDescent="0.2">
      <c r="A17" s="191"/>
      <c r="B17" s="284">
        <v>13</v>
      </c>
      <c r="C17" s="293" t="s">
        <v>159</v>
      </c>
      <c r="D17" s="289">
        <v>42</v>
      </c>
      <c r="E17" s="290" t="s">
        <v>157</v>
      </c>
      <c r="F17" s="277">
        <f ca="1">INDEX(OFFSET('Adjustment scenario'!$D$1:$W$1,$D17-1,0),MATCH(F$4,'Adjustment scenario'!$D$10:$W$10,0))</f>
        <v>9.0217489999999998</v>
      </c>
      <c r="G17" s="277">
        <f ca="1">INDEX(OFFSET('Adjustment scenario'!$D$1:$W$1,$D17-1,0),MATCH(G$4,'Adjustment scenario'!$D$10:$W$10,0))</f>
        <v>3.6147499999999999</v>
      </c>
      <c r="H17" s="277">
        <f ca="1">INDEX(OFFSET('Adjustment scenario'!$D$1:$W$1,$D17-1,0),MATCH(H$4,'Adjustment scenario'!$D$10:$W$10,0))</f>
        <v>3.4727869999999998</v>
      </c>
      <c r="I17" s="277">
        <f ca="1">INDEX(OFFSET('Adjustment scenario'!$D$1:$W$1,$D17-1,0),MATCH(I$4,'Adjustment scenario'!$D$10:$W$10,0))</f>
        <v>2.2027230000000002</v>
      </c>
      <c r="J17" s="277">
        <f ca="1">INDEX(OFFSET('Adjustment scenario'!$D$1:$W$1,$D17-1,0),MATCH(J$4,'Adjustment scenario'!$D$10:$W$10,0))</f>
        <v>2.2211326250000001</v>
      </c>
      <c r="K17" s="277">
        <f ca="1">INDEX(OFFSET('Adjustment scenario'!$D$1:$W$1,$D17-1,0),MATCH(K$4,'Adjustment scenario'!$D$10:$W$10,0))</f>
        <v>2.2395422500000004</v>
      </c>
      <c r="L17" s="277">
        <f ca="1">INDEX(OFFSET('Adjustment scenario'!$D$1:$W$1,$D17-1,0),MATCH(L$4,'Adjustment scenario'!$D$10:$W$10,0))</f>
        <v>2.2579518750000003</v>
      </c>
      <c r="M17" s="277">
        <f ca="1">INDEX(OFFSET('Adjustment scenario'!$D$1:$W$1,$D17-1,0),MATCH(M$4,'Adjustment scenario'!$D$10:$W$10,0))</f>
        <v>2.2763615000000001</v>
      </c>
      <c r="N17" s="277">
        <f ca="1">INDEX(OFFSET('Adjustment scenario'!$D$1:$W$1,$D17-1,0),MATCH(N$4,'Adjustment scenario'!$D$10:$W$10,0))</f>
        <v>2.294771125</v>
      </c>
      <c r="O17" s="277">
        <f ca="1">INDEX(OFFSET('Adjustment scenario'!$D$1:$W$1,$D17-1,0),MATCH(O$4,'Adjustment scenario'!$D$10:$W$10,0))</f>
        <v>2.3131807499999999</v>
      </c>
      <c r="P17" s="277">
        <f ca="1">INDEX(OFFSET('Adjustment scenario'!$D$1:$W$1,$D17-1,0),MATCH(P$4,'Adjustment scenario'!$D$10:$W$10,0))</f>
        <v>2.3315903750000002</v>
      </c>
      <c r="Q17" s="277">
        <f ca="1">INDEX(OFFSET('Adjustment scenario'!$D$1:$W$1,$D17-1,0),MATCH(Q$4,'Adjustment scenario'!$D$10:$W$10,0))</f>
        <v>2.35</v>
      </c>
      <c r="R17" s="277">
        <f ca="1">INDEX(OFFSET('Adjustment scenario'!$D$1:$W$1,$D17-1,0),MATCH(R$4,'Adjustment scenario'!$D$10:$W$10,0))</f>
        <v>2.3325</v>
      </c>
      <c r="S17" s="277">
        <f ca="1">INDEX(OFFSET('Adjustment scenario'!$D$1:$W$1,$D17-1,0),MATCH(S$4,'Adjustment scenario'!$D$10:$W$10,0))</f>
        <v>2.3149999999999999</v>
      </c>
      <c r="T17" s="277">
        <f ca="1">INDEX(OFFSET('Adjustment scenario'!$D$1:$W$1,$D17-1,0),MATCH(T$4,'Adjustment scenario'!$D$10:$W$10,0))</f>
        <v>2.2974999999999999</v>
      </c>
      <c r="U17" s="277">
        <f ca="1">INDEX(OFFSET('Adjustment scenario'!$D$1:$W$1,$D17-1,0),MATCH(U$4,'Adjustment scenario'!$D$10:$W$10,0))</f>
        <v>2.2800000000000002</v>
      </c>
      <c r="V17" s="277">
        <f ca="1">INDEX(OFFSET('Adjustment scenario'!$D$1:$W$1,$D17-1,0),MATCH(V$4,'Adjustment scenario'!$D$10:$W$10,0))</f>
        <v>2.2625000000000002</v>
      </c>
      <c r="W17" s="277">
        <f ca="1">INDEX(OFFSET('Adjustment scenario'!$D$1:$W$1,$D17-1,0),MATCH(W$4,'Adjustment scenario'!$D$10:$W$10,0))</f>
        <v>2.2450000000000001</v>
      </c>
      <c r="X17" s="277">
        <f ca="1">INDEX(OFFSET('Adjustment scenario'!$D$1:$W$1,$D17-1,0),MATCH(X$4,'Adjustment scenario'!$D$10:$W$10,0))</f>
        <v>2.2275</v>
      </c>
      <c r="Y17" s="191"/>
    </row>
    <row r="18" spans="1:25" x14ac:dyDescent="0.2">
      <c r="A18" s="191"/>
      <c r="B18" s="284">
        <v>14</v>
      </c>
      <c r="C18" s="280" t="s">
        <v>160</v>
      </c>
      <c r="D18" s="289">
        <v>33</v>
      </c>
      <c r="E18" s="290" t="s">
        <v>157</v>
      </c>
      <c r="F18" s="277">
        <f ca="1">INDEX(OFFSET('Adjustment scenario'!$D$1:$W$1,$D18-1,0),MATCH(F$4,'Adjustment scenario'!$D$10:$W$10,0))</f>
        <v>9.3949002478024966</v>
      </c>
      <c r="G18" s="277">
        <f ca="1">INDEX(OFFSET('Adjustment scenario'!$D$1:$W$1,$D18-1,0),MATCH(G$4,'Adjustment scenario'!$D$10:$W$10,0))</f>
        <v>5.8608732491900017</v>
      </c>
      <c r="H18" s="277">
        <f ca="1">INDEX(OFFSET('Adjustment scenario'!$D$1:$W$1,$D18-1,0),MATCH(H$4,'Adjustment scenario'!$D$10:$W$10,0))</f>
        <v>6.1403392476010232</v>
      </c>
      <c r="I18" s="277">
        <f ca="1">INDEX(OFFSET('Adjustment scenario'!$D$1:$W$1,$D18-1,0),MATCH(I$4,'Adjustment scenario'!$D$10:$W$10,0))</f>
        <v>4.9926468092140519</v>
      </c>
      <c r="J18" s="277">
        <f ca="1">INDEX(OFFSET('Adjustment scenario'!$D$1:$W$1,$D18-1,0),MATCH(J$4,'Adjustment scenario'!$D$10:$W$10,0))</f>
        <v>4.8314810087328297</v>
      </c>
      <c r="K18" s="277">
        <f ca="1">INDEX(OFFSET('Adjustment scenario'!$D$1:$W$1,$D18-1,0),MATCH(K$4,'Adjustment scenario'!$D$10:$W$10,0))</f>
        <v>4.3608794690348285</v>
      </c>
      <c r="L18" s="277">
        <f ca="1">INDEX(OFFSET('Adjustment scenario'!$D$1:$W$1,$D18-1,0),MATCH(L$4,'Adjustment scenario'!$D$10:$W$10,0))</f>
        <v>4.4005179481726664</v>
      </c>
      <c r="M18" s="277">
        <f ca="1">INDEX(OFFSET('Adjustment scenario'!$D$1:$W$1,$D18-1,0),MATCH(M$4,'Adjustment scenario'!$D$10:$W$10,0))</f>
        <v>4.3050783773831869</v>
      </c>
      <c r="N18" s="277">
        <f ca="1">INDEX(OFFSET('Adjustment scenario'!$D$1:$W$1,$D18-1,0),MATCH(N$4,'Adjustment scenario'!$D$10:$W$10,0))</f>
        <v>4.2670771152090392</v>
      </c>
      <c r="O18" s="277">
        <f ca="1">INDEX(OFFSET('Adjustment scenario'!$D$1:$W$1,$D18-1,0),MATCH(O$4,'Adjustment scenario'!$D$10:$W$10,0))</f>
        <v>3.9239431954785964</v>
      </c>
      <c r="P18" s="277">
        <f ca="1">INDEX(OFFSET('Adjustment scenario'!$D$1:$W$1,$D18-1,0),MATCH(P$4,'Adjustment scenario'!$D$10:$W$10,0))</f>
        <v>3.9391265380440021</v>
      </c>
      <c r="Q18" s="277">
        <f ca="1">INDEX(OFFSET('Adjustment scenario'!$D$1:$W$1,$D18-1,0),MATCH(Q$4,'Adjustment scenario'!$D$10:$W$10,0))</f>
        <v>4.0095438400000072</v>
      </c>
      <c r="R18" s="277">
        <f ca="1">INDEX(OFFSET('Adjustment scenario'!$D$1:$W$1,$D18-1,0),MATCH(R$4,'Adjustment scenario'!$D$10:$W$10,0))</f>
        <v>3.9335697352000043</v>
      </c>
      <c r="S18" s="277">
        <f ca="1">INDEX(OFFSET('Adjustment scenario'!$D$1:$W$1,$D18-1,0),MATCH(S$4,'Adjustment scenario'!$D$10:$W$10,0))</f>
        <v>3.8576175791000145</v>
      </c>
      <c r="T18" s="277">
        <f ca="1">INDEX(OFFSET('Adjustment scenario'!$D$1:$W$1,$D18-1,0),MATCH(T$4,'Adjustment scenario'!$D$10:$W$10,0))</f>
        <v>3.7816822557749985</v>
      </c>
      <c r="U18" s="277">
        <f ca="1">INDEX(OFFSET('Adjustment scenario'!$D$1:$W$1,$D18-1,0),MATCH(U$4,'Adjustment scenario'!$D$10:$W$10,0))</f>
        <v>3.6824694968000005</v>
      </c>
      <c r="V18" s="277">
        <f ca="1">INDEX(OFFSET('Adjustment scenario'!$D$1:$W$1,$D18-1,0),MATCH(V$4,'Adjustment scenario'!$D$10:$W$10,0))</f>
        <v>3.5694321346249946</v>
      </c>
      <c r="W18" s="277">
        <f ca="1">INDEX(OFFSET('Adjustment scenario'!$D$1:$W$1,$D18-1,0),MATCH(W$4,'Adjustment scenario'!$D$10:$W$10,0))</f>
        <v>3.4385774565000027</v>
      </c>
      <c r="X18" s="277">
        <f ca="1">INDEX(OFFSET('Adjustment scenario'!$D$1:$W$1,$D18-1,0),MATCH(X$4,'Adjustment scenario'!$D$10:$W$10,0))</f>
        <v>3.3478898876750041</v>
      </c>
      <c r="Y18" s="191"/>
    </row>
    <row r="19" spans="1:25" x14ac:dyDescent="0.2">
      <c r="A19" s="191"/>
      <c r="B19" s="278"/>
      <c r="C19" s="299"/>
      <c r="D19" s="299"/>
      <c r="E19" s="299"/>
      <c r="F19" s="299"/>
      <c r="G19" s="299"/>
      <c r="H19" s="299"/>
      <c r="I19" s="299"/>
      <c r="J19" s="299"/>
      <c r="K19" s="191"/>
      <c r="L19" s="191"/>
      <c r="M19" s="191"/>
      <c r="N19" s="191"/>
      <c r="O19" s="191"/>
      <c r="P19" s="191"/>
      <c r="Q19" s="191"/>
      <c r="R19" s="191"/>
      <c r="S19" s="191"/>
      <c r="T19" s="191"/>
      <c r="U19" s="191"/>
      <c r="V19" s="191"/>
      <c r="W19" s="191"/>
      <c r="X19" s="191"/>
      <c r="Y19" s="191"/>
    </row>
    <row r="20" spans="1:25" x14ac:dyDescent="0.2">
      <c r="A20" s="191"/>
      <c r="B20" s="300"/>
      <c r="C20" s="282" t="s">
        <v>161</v>
      </c>
      <c r="D20" s="283"/>
      <c r="E20" s="283"/>
      <c r="F20" s="283"/>
      <c r="G20" s="299"/>
      <c r="H20" s="299"/>
      <c r="I20" s="299"/>
      <c r="J20" s="299"/>
      <c r="K20" s="191"/>
      <c r="L20" s="191"/>
      <c r="M20" s="191"/>
      <c r="N20" s="191"/>
      <c r="O20" s="191"/>
      <c r="P20" s="191"/>
      <c r="Q20" s="191"/>
      <c r="R20" s="191"/>
      <c r="S20" s="191"/>
      <c r="T20" s="191"/>
      <c r="U20" s="191"/>
      <c r="V20" s="191"/>
      <c r="W20" s="191"/>
      <c r="X20" s="191"/>
      <c r="Y20" s="191"/>
    </row>
    <row r="21" spans="1:25" x14ac:dyDescent="0.2">
      <c r="A21" s="191"/>
      <c r="B21" s="278"/>
      <c r="C21" s="299"/>
      <c r="D21" s="299"/>
      <c r="E21" s="299"/>
      <c r="F21" s="299"/>
      <c r="G21" s="299"/>
      <c r="H21" s="299"/>
      <c r="I21" s="299"/>
      <c r="J21" s="299"/>
      <c r="K21" s="191"/>
      <c r="L21" s="191"/>
      <c r="M21" s="191"/>
      <c r="N21" s="191"/>
      <c r="O21" s="191"/>
      <c r="P21" s="191"/>
      <c r="Q21" s="191"/>
      <c r="R21" s="191"/>
      <c r="S21" s="191"/>
      <c r="T21" s="191"/>
      <c r="U21" s="191"/>
      <c r="V21" s="191"/>
      <c r="W21" s="191"/>
      <c r="X21" s="191"/>
      <c r="Y21" s="191"/>
    </row>
    <row r="22" spans="1:25" x14ac:dyDescent="0.2">
      <c r="A22" s="191"/>
      <c r="B22" s="284"/>
      <c r="C22" s="282" t="s">
        <v>12</v>
      </c>
      <c r="D22" s="282"/>
      <c r="E22" s="286">
        <f>F22-1</f>
        <v>-1</v>
      </c>
      <c r="F22" s="287"/>
      <c r="G22" s="287"/>
      <c r="H22" s="287"/>
      <c r="I22" s="287"/>
      <c r="J22" s="287"/>
      <c r="K22" s="287"/>
      <c r="L22" s="287"/>
      <c r="M22" s="287"/>
      <c r="N22" s="287"/>
      <c r="O22" s="287"/>
      <c r="P22" s="287"/>
      <c r="Q22" s="287"/>
      <c r="R22" s="287"/>
      <c r="S22" s="287"/>
      <c r="T22" s="287"/>
      <c r="U22" s="287"/>
      <c r="V22" s="287"/>
      <c r="W22" s="287"/>
      <c r="X22" s="287"/>
      <c r="Y22" s="191"/>
    </row>
    <row r="23" spans="1:25" x14ac:dyDescent="0.2">
      <c r="A23" s="191"/>
      <c r="B23" s="284">
        <v>1</v>
      </c>
      <c r="C23" s="288" t="s">
        <v>147</v>
      </c>
      <c r="D23" s="289">
        <v>56</v>
      </c>
      <c r="E23" s="290" t="s">
        <v>148</v>
      </c>
      <c r="F23" s="277"/>
      <c r="G23" s="277"/>
      <c r="H23" s="277"/>
      <c r="I23" s="277"/>
      <c r="J23" s="277"/>
      <c r="K23" s="277"/>
      <c r="L23" s="277"/>
      <c r="M23" s="277"/>
      <c r="N23" s="277"/>
      <c r="O23" s="277"/>
      <c r="P23" s="277"/>
      <c r="Q23" s="277"/>
      <c r="R23" s="277"/>
      <c r="S23" s="277"/>
      <c r="T23" s="277"/>
      <c r="U23" s="277"/>
      <c r="V23" s="277"/>
      <c r="W23" s="277"/>
      <c r="X23" s="277"/>
      <c r="Y23" s="191"/>
    </row>
    <row r="24" spans="1:25" x14ac:dyDescent="0.2">
      <c r="A24" s="191"/>
      <c r="B24" s="284">
        <v>2</v>
      </c>
      <c r="C24" s="288" t="s">
        <v>63</v>
      </c>
      <c r="D24" s="289">
        <v>36</v>
      </c>
      <c r="E24" s="290" t="s">
        <v>154</v>
      </c>
      <c r="F24" s="277"/>
      <c r="G24" s="277"/>
      <c r="H24" s="277"/>
      <c r="I24" s="277"/>
      <c r="J24" s="277"/>
      <c r="K24" s="277"/>
      <c r="L24" s="277"/>
      <c r="M24" s="277"/>
      <c r="N24" s="277"/>
      <c r="O24" s="277"/>
      <c r="P24" s="277"/>
      <c r="Q24" s="277"/>
      <c r="R24" s="277"/>
      <c r="S24" s="277"/>
      <c r="T24" s="277"/>
      <c r="U24" s="277"/>
      <c r="V24" s="277"/>
      <c r="W24" s="277"/>
      <c r="X24" s="277"/>
      <c r="Y24" s="191"/>
    </row>
    <row r="25" spans="1:25" x14ac:dyDescent="0.2">
      <c r="A25" s="191"/>
      <c r="B25" s="284">
        <v>3</v>
      </c>
      <c r="C25" s="288" t="s">
        <v>64</v>
      </c>
      <c r="D25" s="289">
        <v>37</v>
      </c>
      <c r="E25" s="290" t="s">
        <v>154</v>
      </c>
      <c r="F25" s="277"/>
      <c r="G25" s="277"/>
      <c r="H25" s="277"/>
      <c r="I25" s="277"/>
      <c r="J25" s="277"/>
      <c r="K25" s="277"/>
      <c r="L25" s="277"/>
      <c r="M25" s="277"/>
      <c r="N25" s="277"/>
      <c r="O25" s="277"/>
      <c r="P25" s="277"/>
      <c r="Q25" s="277"/>
      <c r="R25" s="277"/>
      <c r="S25" s="277"/>
      <c r="T25" s="277"/>
      <c r="U25" s="277"/>
      <c r="V25" s="277"/>
      <c r="W25" s="277"/>
      <c r="X25" s="277"/>
      <c r="Y25" s="191"/>
    </row>
    <row r="26" spans="1:25" x14ac:dyDescent="0.2">
      <c r="A26" s="191"/>
      <c r="B26" s="284"/>
      <c r="C26" s="282" t="s">
        <v>13</v>
      </c>
      <c r="D26" s="282"/>
      <c r="E26" s="286">
        <f>F26-1</f>
        <v>-1</v>
      </c>
      <c r="F26" s="287"/>
      <c r="G26" s="287"/>
      <c r="H26" s="287"/>
      <c r="I26" s="287"/>
      <c r="J26" s="287"/>
      <c r="K26" s="287"/>
      <c r="L26" s="287"/>
      <c r="M26" s="287"/>
      <c r="N26" s="287"/>
      <c r="O26" s="287"/>
      <c r="P26" s="287"/>
      <c r="Q26" s="287"/>
      <c r="R26" s="287"/>
      <c r="S26" s="287"/>
      <c r="T26" s="287"/>
      <c r="U26" s="287"/>
      <c r="V26" s="287"/>
      <c r="W26" s="287"/>
      <c r="X26" s="287"/>
      <c r="Y26" s="191"/>
    </row>
    <row r="27" spans="1:25" x14ac:dyDescent="0.2">
      <c r="A27" s="191"/>
      <c r="B27" s="284">
        <v>4</v>
      </c>
      <c r="C27" s="288" t="s">
        <v>147</v>
      </c>
      <c r="D27" s="289">
        <v>56</v>
      </c>
      <c r="E27" s="290" t="s">
        <v>148</v>
      </c>
      <c r="F27" s="277"/>
      <c r="G27" s="277"/>
      <c r="H27" s="277"/>
      <c r="I27" s="277"/>
      <c r="J27" s="277"/>
      <c r="K27" s="277"/>
      <c r="L27" s="277"/>
      <c r="M27" s="277"/>
      <c r="N27" s="277"/>
      <c r="O27" s="277"/>
      <c r="P27" s="277"/>
      <c r="Q27" s="277"/>
      <c r="R27" s="277"/>
      <c r="S27" s="277"/>
      <c r="T27" s="277"/>
      <c r="U27" s="277"/>
      <c r="V27" s="277"/>
      <c r="W27" s="277"/>
      <c r="X27" s="277"/>
      <c r="Y27" s="191"/>
    </row>
    <row r="28" spans="1:25" x14ac:dyDescent="0.2">
      <c r="A28" s="191"/>
      <c r="B28" s="284">
        <v>5</v>
      </c>
      <c r="C28" s="288" t="s">
        <v>18</v>
      </c>
      <c r="D28" s="289">
        <v>12</v>
      </c>
      <c r="E28" s="290" t="s">
        <v>150</v>
      </c>
      <c r="F28" s="277"/>
      <c r="G28" s="277"/>
      <c r="H28" s="277"/>
      <c r="I28" s="277"/>
      <c r="J28" s="277"/>
      <c r="K28" s="277"/>
      <c r="L28" s="277"/>
      <c r="M28" s="277"/>
      <c r="N28" s="277"/>
      <c r="O28" s="277"/>
      <c r="P28" s="277"/>
      <c r="Q28" s="277"/>
      <c r="R28" s="277"/>
      <c r="S28" s="277"/>
      <c r="T28" s="277"/>
      <c r="U28" s="277"/>
      <c r="V28" s="277"/>
      <c r="W28" s="277"/>
      <c r="X28" s="277"/>
      <c r="Y28" s="191"/>
    </row>
    <row r="29" spans="1:25" x14ac:dyDescent="0.2">
      <c r="A29" s="191"/>
      <c r="B29" s="284"/>
      <c r="C29" s="282" t="s">
        <v>162</v>
      </c>
      <c r="D29" s="282"/>
      <c r="E29" s="286">
        <f>F29-1</f>
        <v>-1</v>
      </c>
      <c r="F29" s="287"/>
      <c r="G29" s="287"/>
      <c r="H29" s="287"/>
      <c r="I29" s="287"/>
      <c r="J29" s="287"/>
      <c r="K29" s="287"/>
      <c r="L29" s="287"/>
      <c r="M29" s="287"/>
      <c r="N29" s="287"/>
      <c r="O29" s="287"/>
      <c r="P29" s="287"/>
      <c r="Q29" s="287"/>
      <c r="R29" s="287"/>
      <c r="S29" s="287"/>
      <c r="T29" s="287"/>
      <c r="U29" s="287"/>
      <c r="V29" s="287"/>
      <c r="W29" s="287"/>
      <c r="X29" s="287"/>
      <c r="Y29" s="191"/>
    </row>
    <row r="30" spans="1:25" x14ac:dyDescent="0.2">
      <c r="A30" s="191"/>
      <c r="B30" s="284">
        <v>6</v>
      </c>
      <c r="C30" s="288" t="s">
        <v>147</v>
      </c>
      <c r="D30" s="289">
        <v>57</v>
      </c>
      <c r="E30" s="290" t="s">
        <v>148</v>
      </c>
      <c r="F30" s="277"/>
      <c r="G30" s="277"/>
      <c r="H30" s="277"/>
      <c r="I30" s="277"/>
      <c r="J30" s="277"/>
      <c r="K30" s="277"/>
      <c r="L30" s="277"/>
      <c r="M30" s="277"/>
      <c r="N30" s="277"/>
      <c r="O30" s="277"/>
      <c r="P30" s="277"/>
      <c r="Q30" s="277"/>
      <c r="R30" s="277"/>
      <c r="S30" s="277"/>
      <c r="T30" s="277"/>
      <c r="U30" s="277"/>
      <c r="V30" s="277"/>
      <c r="W30" s="277"/>
      <c r="X30" s="277"/>
      <c r="Y30" s="191"/>
    </row>
    <row r="31" spans="1:25" x14ac:dyDescent="0.2">
      <c r="A31" s="191"/>
      <c r="B31" s="284">
        <v>7</v>
      </c>
      <c r="C31" s="288" t="s">
        <v>63</v>
      </c>
      <c r="D31" s="289">
        <v>37</v>
      </c>
      <c r="E31" s="290" t="s">
        <v>154</v>
      </c>
      <c r="F31" s="277"/>
      <c r="G31" s="277"/>
      <c r="H31" s="277"/>
      <c r="I31" s="277"/>
      <c r="J31" s="277"/>
      <c r="K31" s="277"/>
      <c r="L31" s="277"/>
      <c r="M31" s="277"/>
      <c r="N31" s="277"/>
      <c r="O31" s="277"/>
      <c r="P31" s="277"/>
      <c r="Q31" s="277"/>
      <c r="R31" s="277"/>
      <c r="S31" s="277"/>
      <c r="T31" s="277"/>
      <c r="U31" s="277"/>
      <c r="V31" s="277"/>
      <c r="W31" s="277"/>
      <c r="X31" s="277"/>
      <c r="Y31" s="191"/>
    </row>
    <row r="32" spans="1:25" x14ac:dyDescent="0.2">
      <c r="A32" s="191"/>
      <c r="B32" s="284">
        <v>8</v>
      </c>
      <c r="C32" s="288" t="s">
        <v>64</v>
      </c>
      <c r="D32" s="289">
        <v>38</v>
      </c>
      <c r="E32" s="290" t="s">
        <v>154</v>
      </c>
      <c r="F32" s="277"/>
      <c r="G32" s="277"/>
      <c r="H32" s="277"/>
      <c r="I32" s="277"/>
      <c r="J32" s="277"/>
      <c r="K32" s="277"/>
      <c r="L32" s="277"/>
      <c r="M32" s="277"/>
      <c r="N32" s="277"/>
      <c r="O32" s="277"/>
      <c r="P32" s="277"/>
      <c r="Q32" s="277"/>
      <c r="R32" s="277"/>
      <c r="S32" s="277"/>
      <c r="T32" s="277"/>
      <c r="U32" s="277"/>
      <c r="V32" s="277"/>
      <c r="W32" s="277"/>
      <c r="X32" s="277"/>
      <c r="Y32" s="191"/>
    </row>
    <row r="33" spans="1:25" x14ac:dyDescent="0.2">
      <c r="A33" s="191"/>
      <c r="B33" s="284">
        <v>9</v>
      </c>
      <c r="C33" s="280" t="s">
        <v>158</v>
      </c>
      <c r="D33" s="289">
        <v>23</v>
      </c>
      <c r="E33" s="290" t="s">
        <v>157</v>
      </c>
      <c r="F33" s="277"/>
      <c r="G33" s="277"/>
      <c r="H33" s="277"/>
      <c r="I33" s="277"/>
      <c r="J33" s="277"/>
      <c r="K33" s="277"/>
      <c r="L33" s="277"/>
      <c r="M33" s="277"/>
      <c r="N33" s="277"/>
      <c r="O33" s="277"/>
      <c r="P33" s="277"/>
      <c r="Q33" s="277"/>
      <c r="R33" s="277"/>
      <c r="S33" s="277"/>
      <c r="T33" s="277"/>
      <c r="U33" s="277"/>
      <c r="V33" s="277"/>
      <c r="W33" s="277"/>
      <c r="X33" s="277"/>
      <c r="Y33" s="191"/>
    </row>
    <row r="34" spans="1:25" x14ac:dyDescent="0.2">
      <c r="A34" s="191"/>
      <c r="B34" s="284">
        <v>10</v>
      </c>
      <c r="C34" s="292" t="s">
        <v>40</v>
      </c>
      <c r="D34" s="289">
        <v>27</v>
      </c>
      <c r="E34" s="290" t="s">
        <v>157</v>
      </c>
      <c r="F34" s="277"/>
      <c r="G34" s="277"/>
      <c r="H34" s="277"/>
      <c r="I34" s="277"/>
      <c r="J34" s="277"/>
      <c r="K34" s="277"/>
      <c r="L34" s="277"/>
      <c r="M34" s="277"/>
      <c r="N34" s="277"/>
      <c r="O34" s="277"/>
      <c r="P34" s="277"/>
      <c r="Q34" s="277"/>
      <c r="R34" s="277"/>
      <c r="S34" s="277"/>
      <c r="T34" s="277"/>
      <c r="U34" s="277"/>
      <c r="V34" s="277"/>
      <c r="W34" s="277"/>
      <c r="X34" s="277"/>
      <c r="Y34" s="191"/>
    </row>
    <row r="35" spans="1:25" x14ac:dyDescent="0.2">
      <c r="A35" s="191"/>
      <c r="B35" s="284"/>
      <c r="C35" s="282" t="s">
        <v>163</v>
      </c>
      <c r="D35" s="282"/>
      <c r="E35" s="286">
        <f>F35-1</f>
        <v>-1</v>
      </c>
      <c r="F35" s="295"/>
      <c r="G35" s="191"/>
      <c r="H35" s="191"/>
      <c r="I35" s="191"/>
      <c r="J35" s="191"/>
      <c r="K35" s="191"/>
      <c r="L35" s="191"/>
      <c r="M35" s="191"/>
      <c r="N35" s="191"/>
      <c r="O35" s="191"/>
      <c r="P35" s="191"/>
      <c r="Q35" s="191"/>
      <c r="R35" s="191"/>
      <c r="S35" s="191"/>
      <c r="T35" s="191"/>
      <c r="U35" s="191"/>
      <c r="V35" s="191"/>
      <c r="W35" s="191"/>
      <c r="X35" s="191"/>
      <c r="Y35" s="191"/>
    </row>
    <row r="36" spans="1:25" x14ac:dyDescent="0.2">
      <c r="A36" s="191"/>
      <c r="B36" s="284">
        <v>11</v>
      </c>
      <c r="C36" s="288" t="s">
        <v>164</v>
      </c>
      <c r="D36" s="301" t="s">
        <v>168</v>
      </c>
      <c r="E36" s="290" t="s">
        <v>154</v>
      </c>
      <c r="F36" s="277"/>
      <c r="G36" s="308"/>
      <c r="H36" s="297"/>
      <c r="I36" s="298"/>
      <c r="J36" s="298"/>
      <c r="K36" s="297"/>
      <c r="L36" s="298"/>
      <c r="M36" s="297"/>
      <c r="N36" s="297"/>
      <c r="O36" s="298"/>
      <c r="P36" s="298"/>
      <c r="Q36" s="297"/>
      <c r="R36" s="298"/>
      <c r="S36" s="297"/>
      <c r="T36" s="302"/>
      <c r="U36" s="86"/>
      <c r="V36" s="309"/>
      <c r="W36" s="310"/>
      <c r="X36" s="309"/>
      <c r="Y36" s="86"/>
    </row>
    <row r="37" spans="1:25" x14ac:dyDescent="0.2">
      <c r="A37" s="191"/>
      <c r="B37" s="278"/>
      <c r="C37" s="299"/>
      <c r="D37" s="299"/>
      <c r="E37" s="299"/>
      <c r="F37" s="299"/>
      <c r="G37" s="299"/>
      <c r="H37" s="299"/>
      <c r="I37" s="299"/>
      <c r="J37" s="299"/>
      <c r="K37" s="191"/>
      <c r="L37" s="191"/>
      <c r="M37" s="191"/>
      <c r="N37" s="191"/>
      <c r="O37" s="191"/>
      <c r="P37" s="191"/>
      <c r="Q37" s="308"/>
      <c r="R37" s="308"/>
      <c r="S37" s="308"/>
      <c r="T37" s="308"/>
      <c r="U37" s="308"/>
      <c r="V37" s="308"/>
      <c r="W37" s="191"/>
      <c r="X37" s="191"/>
      <c r="Y37" s="191"/>
    </row>
    <row r="38" spans="1:25" x14ac:dyDescent="0.2">
      <c r="A38" s="191"/>
      <c r="B38" s="300"/>
      <c r="C38" s="282" t="s">
        <v>165</v>
      </c>
      <c r="D38" s="283"/>
      <c r="E38" s="283"/>
      <c r="F38" s="294"/>
      <c r="G38" s="191"/>
      <c r="H38" s="191"/>
      <c r="I38" s="191"/>
      <c r="J38" s="191"/>
      <c r="K38" s="191"/>
      <c r="L38" s="191"/>
      <c r="M38" s="191"/>
      <c r="N38" s="191"/>
      <c r="O38" s="191"/>
      <c r="P38" s="191"/>
      <c r="Q38" s="191"/>
      <c r="R38" s="191"/>
      <c r="S38" s="191"/>
      <c r="T38" s="191"/>
      <c r="U38" s="191"/>
      <c r="V38" s="191"/>
      <c r="W38" s="191"/>
      <c r="X38" s="191"/>
      <c r="Y38" s="191"/>
    </row>
    <row r="39" spans="1:25" x14ac:dyDescent="0.2">
      <c r="A39" s="191"/>
      <c r="B39" s="278"/>
      <c r="C39" s="299"/>
      <c r="D39" s="299"/>
      <c r="E39" s="299"/>
      <c r="F39" s="299"/>
      <c r="G39" s="299"/>
      <c r="H39" s="299"/>
      <c r="I39" s="299"/>
      <c r="J39" s="299"/>
      <c r="K39" s="191"/>
      <c r="L39" s="191"/>
      <c r="M39" s="191"/>
      <c r="N39" s="191"/>
      <c r="O39" s="191"/>
      <c r="P39" s="191"/>
      <c r="Q39" s="191"/>
      <c r="R39" s="191"/>
      <c r="S39" s="191"/>
      <c r="T39" s="191"/>
      <c r="U39" s="191"/>
      <c r="V39" s="191"/>
      <c r="W39" s="191"/>
      <c r="X39" s="191"/>
      <c r="Y39" s="191"/>
    </row>
    <row r="40" spans="1:25" x14ac:dyDescent="0.2">
      <c r="A40" s="191"/>
      <c r="B40" s="284"/>
      <c r="C40" s="282"/>
      <c r="D40" s="282"/>
      <c r="E40" s="287"/>
      <c r="F40" s="287">
        <f>'Input data'!$C$5-1</f>
        <v>2023</v>
      </c>
      <c r="G40" s="287">
        <f>F40+1</f>
        <v>2024</v>
      </c>
      <c r="H40" s="287">
        <f t="shared" ref="H40:X40" si="1">G40+1</f>
        <v>2025</v>
      </c>
      <c r="I40" s="287">
        <f t="shared" si="1"/>
        <v>2026</v>
      </c>
      <c r="J40" s="287">
        <f t="shared" si="1"/>
        <v>2027</v>
      </c>
      <c r="K40" s="287">
        <f t="shared" si="1"/>
        <v>2028</v>
      </c>
      <c r="L40" s="287">
        <f t="shared" si="1"/>
        <v>2029</v>
      </c>
      <c r="M40" s="287">
        <f t="shared" si="1"/>
        <v>2030</v>
      </c>
      <c r="N40" s="287">
        <f t="shared" si="1"/>
        <v>2031</v>
      </c>
      <c r="O40" s="287">
        <f t="shared" si="1"/>
        <v>2032</v>
      </c>
      <c r="P40" s="287">
        <f t="shared" si="1"/>
        <v>2033</v>
      </c>
      <c r="Q40" s="287">
        <f t="shared" si="1"/>
        <v>2034</v>
      </c>
      <c r="R40" s="287">
        <f t="shared" si="1"/>
        <v>2035</v>
      </c>
      <c r="S40" s="287">
        <f t="shared" si="1"/>
        <v>2036</v>
      </c>
      <c r="T40" s="287">
        <f t="shared" si="1"/>
        <v>2037</v>
      </c>
      <c r="U40" s="287">
        <f t="shared" si="1"/>
        <v>2038</v>
      </c>
      <c r="V40" s="287">
        <f t="shared" si="1"/>
        <v>2039</v>
      </c>
      <c r="W40" s="287">
        <f t="shared" si="1"/>
        <v>2040</v>
      </c>
      <c r="X40" s="287">
        <f t="shared" si="1"/>
        <v>2041</v>
      </c>
      <c r="Y40" s="191"/>
    </row>
    <row r="41" spans="1:25" x14ac:dyDescent="0.2">
      <c r="A41" s="191"/>
      <c r="B41" s="284">
        <v>1</v>
      </c>
      <c r="C41" s="288" t="s">
        <v>147</v>
      </c>
      <c r="D41" s="289">
        <v>56</v>
      </c>
      <c r="E41" s="290" t="s">
        <v>148</v>
      </c>
      <c r="F41" s="277">
        <f ca="1">INDEX(OFFSET('Baseline NFPC'!$D$1:$W$1,$D41-1,0),MATCH(F$4,'Baseline NFPC'!$D$10:$W$10,0))</f>
        <v>37.344895037084065</v>
      </c>
      <c r="G41" s="277">
        <f ca="1">INDEX(OFFSET('Baseline NFPC'!$D$1:$W$1,$D41-1,0),MATCH(G$4,'Baseline NFPC'!$D$10:$W$10,0))</f>
        <v>38.25865969882279</v>
      </c>
      <c r="H41" s="277">
        <f ca="1">INDEX(OFFSET('Baseline NFPC'!$D$1:$W$1,$D41-1,0),MATCH(H$4,'Baseline NFPC'!$D$10:$W$10,0))</f>
        <v>41.169692284568775</v>
      </c>
      <c r="I41" s="277">
        <f ca="1">INDEX(OFFSET('Baseline NFPC'!$D$1:$W$1,$D41-1,0),MATCH(I$4,'Baseline NFPC'!$D$10:$W$10,0))</f>
        <v>44.898871305828173</v>
      </c>
      <c r="J41" s="277">
        <f ca="1">INDEX(OFFSET('Baseline NFPC'!$D$1:$W$1,$D41-1,0),MATCH(J$4,'Baseline NFPC'!$D$10:$W$10,0))</f>
        <v>45.56165516321952</v>
      </c>
      <c r="K41" s="277">
        <f ca="1">INDEX(OFFSET('Baseline NFPC'!$D$1:$W$1,$D41-1,0),MATCH(K$4,'Baseline NFPC'!$D$10:$W$10,0))</f>
        <v>46.372782012656685</v>
      </c>
      <c r="L41" s="277">
        <f ca="1">INDEX(OFFSET('Baseline NFPC'!$D$1:$W$1,$D41-1,0),MATCH(L$4,'Baseline NFPC'!$D$10:$W$10,0))</f>
        <v>47.189767122817699</v>
      </c>
      <c r="M41" s="277">
        <f ca="1">INDEX(OFFSET('Baseline NFPC'!$D$1:$W$1,$D41-1,0),MATCH(M$4,'Baseline NFPC'!$D$10:$W$10,0))</f>
        <v>48.464223941053035</v>
      </c>
      <c r="N41" s="277">
        <f ca="1">INDEX(OFFSET('Baseline NFPC'!$D$1:$W$1,$D41-1,0),MATCH(N$4,'Baseline NFPC'!$D$10:$W$10,0))</f>
        <v>49.968835390399406</v>
      </c>
      <c r="O41" s="277">
        <f ca="1">INDEX(OFFSET('Baseline NFPC'!$D$1:$W$1,$D41-1,0),MATCH(O$4,'Baseline NFPC'!$D$10:$W$10,0))</f>
        <v>51.710401238870752</v>
      </c>
      <c r="P41" s="277">
        <f ca="1">INDEX(OFFSET('Baseline NFPC'!$D$1:$W$1,$D41-1,0),MATCH(P$4,'Baseline NFPC'!$D$10:$W$10,0))</f>
        <v>53.665481620441966</v>
      </c>
      <c r="Q41" s="277">
        <f ca="1">INDEX(OFFSET('Baseline NFPC'!$D$1:$W$1,$D41-1,0),MATCH(Q$4,'Baseline NFPC'!$D$10:$W$10,0))</f>
        <v>55.781555770909513</v>
      </c>
      <c r="R41" s="277">
        <f ca="1">INDEX(OFFSET('Baseline NFPC'!$D$1:$W$1,$D41-1,0),MATCH(R$4,'Baseline NFPC'!$D$10:$W$10,0))</f>
        <v>58.13327288756998</v>
      </c>
      <c r="S41" s="277">
        <f ca="1">INDEX(OFFSET('Baseline NFPC'!$D$1:$W$1,$D41-1,0),MATCH(S$4,'Baseline NFPC'!$D$10:$W$10,0))</f>
        <v>60.699228545708458</v>
      </c>
      <c r="T41" s="277">
        <f ca="1">INDEX(OFFSET('Baseline NFPC'!$D$1:$W$1,$D41-1,0),MATCH(T$4,'Baseline NFPC'!$D$10:$W$10,0))</f>
        <v>63.440685448847447</v>
      </c>
      <c r="U41" s="277">
        <f ca="1">INDEX(OFFSET('Baseline NFPC'!$D$1:$W$1,$D41-1,0),MATCH(U$4,'Baseline NFPC'!$D$10:$W$10,0))</f>
        <v>66.369250960949017</v>
      </c>
      <c r="V41" s="277">
        <f ca="1">INDEX(OFFSET('Baseline NFPC'!$D$1:$W$1,$D41-1,0),MATCH(V$4,'Baseline NFPC'!$D$10:$W$10,0))</f>
        <v>69.497185659012246</v>
      </c>
      <c r="W41" s="277">
        <f ca="1">INDEX(OFFSET('Baseline NFPC'!$D$1:$W$1,$D41-1,0),MATCH(W$4,'Baseline NFPC'!$D$10:$W$10,0))</f>
        <v>72.826344790941533</v>
      </c>
      <c r="X41" s="277">
        <f ca="1">INDEX(OFFSET('Baseline NFPC'!$D$1:$W$1,$D41-1,0),MATCH(X$4,'Baseline NFPC'!$D$10:$W$10,0))</f>
        <v>76.35085437978654</v>
      </c>
      <c r="Y41" s="191"/>
    </row>
    <row r="42" spans="1:25" x14ac:dyDescent="0.2">
      <c r="A42" s="191"/>
      <c r="B42" s="284">
        <v>2</v>
      </c>
      <c r="C42" s="288" t="s">
        <v>149</v>
      </c>
      <c r="D42" s="289">
        <v>76</v>
      </c>
      <c r="E42" s="290" t="s">
        <v>148</v>
      </c>
      <c r="F42" s="277">
        <f ca="1">INDEX(OFFSET('Baseline NFPC'!$D$1:$W$1,$D42-1,0),MATCH(F$4,'Baseline NFPC'!$D$10:$W$10,0))</f>
        <v>-0.69003439322329896</v>
      </c>
      <c r="G42" s="277">
        <f ca="1">INDEX(OFFSET('Baseline NFPC'!$D$1:$W$1,$D42-1,0),MATCH(G$4,'Baseline NFPC'!$D$10:$W$10,0))</f>
        <v>-2.0349233950924699</v>
      </c>
      <c r="H42" s="277">
        <f ca="1">INDEX(OFFSET('Baseline NFPC'!$D$1:$W$1,$D42-1,0),MATCH(H$4,'Baseline NFPC'!$D$10:$W$10,0))</f>
        <v>-2.4489585030753447</v>
      </c>
      <c r="I42" s="277">
        <f ca="1">INDEX(OFFSET('Baseline NFPC'!$D$1:$W$1,$D42-1,0),MATCH(I$4,'Baseline NFPC'!$D$10:$W$10,0))</f>
        <v>-2.6441685824633074</v>
      </c>
      <c r="J42" s="277">
        <f ca="1">INDEX(OFFSET('Baseline NFPC'!$D$1:$W$1,$D42-1,0),MATCH(J$4,'Baseline NFPC'!$D$10:$W$10,0))</f>
        <v>-2.7541764312262043</v>
      </c>
      <c r="K42" s="277">
        <f ca="1">INDEX(OFFSET('Baseline NFPC'!$D$1:$W$1,$D42-1,0),MATCH(K$4,'Baseline NFPC'!$D$10:$W$10,0))</f>
        <v>-2.7972585463353963</v>
      </c>
      <c r="L42" s="277">
        <f ca="1">INDEX(OFFSET('Baseline NFPC'!$D$1:$W$1,$D42-1,0),MATCH(L$4,'Baseline NFPC'!$D$10:$W$10,0))</f>
        <v>-2.8428952902686859</v>
      </c>
      <c r="M42" s="277">
        <f ca="1">INDEX(OFFSET('Baseline NFPC'!$D$1:$W$1,$D42-1,0),MATCH(M$4,'Baseline NFPC'!$D$10:$W$10,0))</f>
        <v>-3.0871775486406099</v>
      </c>
      <c r="N42" s="277">
        <f ca="1">INDEX(OFFSET('Baseline NFPC'!$D$1:$W$1,$D42-1,0),MATCH(N$4,'Baseline NFPC'!$D$10:$W$10,0))</f>
        <v>-3.3497152564713981</v>
      </c>
      <c r="O42" s="277">
        <f ca="1">INDEX(OFFSET('Baseline NFPC'!$D$1:$W$1,$D42-1,0),MATCH(O$4,'Baseline NFPC'!$D$10:$W$10,0))</f>
        <v>-3.6282809363249218</v>
      </c>
      <c r="P42" s="277">
        <f ca="1">INDEX(OFFSET('Baseline NFPC'!$D$1:$W$1,$D42-1,0),MATCH(P$4,'Baseline NFPC'!$D$10:$W$10,0))</f>
        <v>-3.9148218244472313</v>
      </c>
      <c r="Q42" s="277">
        <f ca="1">INDEX(OFFSET('Baseline NFPC'!$D$1:$W$1,$D42-1,0),MATCH(Q$4,'Baseline NFPC'!$D$10:$W$10,0))</f>
        <v>-4.1848660450160207</v>
      </c>
      <c r="R42" s="277">
        <f ca="1">INDEX(OFFSET('Baseline NFPC'!$D$1:$W$1,$D42-1,0),MATCH(R$4,'Baseline NFPC'!$D$10:$W$10,0))</f>
        <v>-4.4628794689385272</v>
      </c>
      <c r="S42" s="277">
        <f ca="1">INDEX(OFFSET('Baseline NFPC'!$D$1:$W$1,$D42-1,0),MATCH(S$4,'Baseline NFPC'!$D$10:$W$10,0))</f>
        <v>-4.7252188941828628</v>
      </c>
      <c r="T42" s="277">
        <f ca="1">INDEX(OFFSET('Baseline NFPC'!$D$1:$W$1,$D42-1,0),MATCH(T$4,'Baseline NFPC'!$D$10:$W$10,0))</f>
        <v>-4.9532652930320307</v>
      </c>
      <c r="U42" s="277">
        <f ca="1">INDEX(OFFSET('Baseline NFPC'!$D$1:$W$1,$D42-1,0),MATCH(U$4,'Baseline NFPC'!$D$10:$W$10,0))</f>
        <v>-5.1817756271314259</v>
      </c>
      <c r="V42" s="277">
        <f ca="1">INDEX(OFFSET('Baseline NFPC'!$D$1:$W$1,$D42-1,0),MATCH(V$4,'Baseline NFPC'!$D$10:$W$10,0))</f>
        <v>-5.4152943199936399</v>
      </c>
      <c r="W42" s="277">
        <f ca="1">INDEX(OFFSET('Baseline NFPC'!$D$1:$W$1,$D42-1,0),MATCH(W$4,'Baseline NFPC'!$D$10:$W$10,0))</f>
        <v>-5.6394331300202909</v>
      </c>
      <c r="X42" s="277">
        <f ca="1">INDEX(OFFSET('Baseline NFPC'!$D$1:$W$1,$D42-1,0),MATCH(X$4,'Baseline NFPC'!$D$10:$W$10,0))</f>
        <v>-5.8836732209899774</v>
      </c>
      <c r="Y42" s="191"/>
    </row>
    <row r="43" spans="1:25" x14ac:dyDescent="0.2">
      <c r="A43" s="191"/>
      <c r="B43" s="284">
        <v>3</v>
      </c>
      <c r="C43" s="288" t="s">
        <v>18</v>
      </c>
      <c r="D43" s="289">
        <v>12</v>
      </c>
      <c r="E43" s="290" t="s">
        <v>150</v>
      </c>
      <c r="F43" s="277">
        <f ca="1">INDEX(OFFSET('Baseline NFPC'!$D$1:$W$1,$D43-1,0),MATCH(F$4,'Baseline NFPC'!$D$10:$W$10,0))</f>
        <v>0.7080978</v>
      </c>
      <c r="G43" s="277">
        <f ca="1">INDEX(OFFSET('Baseline NFPC'!$D$1:$W$1,$D43-1,0),MATCH(G$4,'Baseline NFPC'!$D$10:$W$10,0))</f>
        <v>-0.36979909999999999</v>
      </c>
      <c r="H43" s="277">
        <f ca="1">INDEX(OFFSET('Baseline NFPC'!$D$1:$W$1,$D43-1,0),MATCH(H$4,'Baseline NFPC'!$D$10:$W$10,0))</f>
        <v>-0.36979909999999999</v>
      </c>
      <c r="I43" s="277">
        <f ca="1">INDEX(OFFSET('Baseline NFPC'!$D$1:$W$1,$D43-1,0),MATCH(I$4,'Baseline NFPC'!$D$10:$W$10,0))</f>
        <v>-0.36979909999999999</v>
      </c>
      <c r="J43" s="277">
        <f ca="1">INDEX(OFFSET('Baseline NFPC'!$D$1:$W$1,$D43-1,0),MATCH(J$4,'Baseline NFPC'!$D$10:$W$10,0))</f>
        <v>-0.36979909999999999</v>
      </c>
      <c r="K43" s="277">
        <f ca="1">INDEX(OFFSET('Baseline NFPC'!$D$1:$W$1,$D43-1,0),MATCH(K$4,'Baseline NFPC'!$D$10:$W$10,0))</f>
        <v>-0.36979909999999999</v>
      </c>
      <c r="L43" s="277">
        <f ca="1">INDEX(OFFSET('Baseline NFPC'!$D$1:$W$1,$D43-1,0),MATCH(L$4,'Baseline NFPC'!$D$10:$W$10,0))</f>
        <v>-0.36979909999999999</v>
      </c>
      <c r="M43" s="277">
        <f ca="1">INDEX(OFFSET('Baseline NFPC'!$D$1:$W$1,$D43-1,0),MATCH(M$4,'Baseline NFPC'!$D$10:$W$10,0))</f>
        <v>-0.36979909999999999</v>
      </c>
      <c r="N43" s="277">
        <f ca="1">INDEX(OFFSET('Baseline NFPC'!$D$1:$W$1,$D43-1,0),MATCH(N$4,'Baseline NFPC'!$D$10:$W$10,0))</f>
        <v>-0.36979909999999999</v>
      </c>
      <c r="O43" s="277">
        <f ca="1">INDEX(OFFSET('Baseline NFPC'!$D$1:$W$1,$D43-1,0),MATCH(O$4,'Baseline NFPC'!$D$10:$W$10,0))</f>
        <v>-0.36979909999999999</v>
      </c>
      <c r="P43" s="277">
        <f ca="1">INDEX(OFFSET('Baseline NFPC'!$D$1:$W$1,$D43-1,0),MATCH(P$4,'Baseline NFPC'!$D$10:$W$10,0))</f>
        <v>-0.36979909999999999</v>
      </c>
      <c r="Q43" s="277">
        <f ca="1">INDEX(OFFSET('Baseline NFPC'!$D$1:$W$1,$D43-1,0),MATCH(Q$4,'Baseline NFPC'!$D$10:$W$10,0))</f>
        <v>-0.36979909999999999</v>
      </c>
      <c r="R43" s="277">
        <f ca="1">INDEX(OFFSET('Baseline NFPC'!$D$1:$W$1,$D43-1,0),MATCH(R$4,'Baseline NFPC'!$D$10:$W$10,0))</f>
        <v>-0.36979909999999999</v>
      </c>
      <c r="S43" s="277">
        <f ca="1">INDEX(OFFSET('Baseline NFPC'!$D$1:$W$1,$D43-1,0),MATCH(S$4,'Baseline NFPC'!$D$10:$W$10,0))</f>
        <v>-0.36979909999999999</v>
      </c>
      <c r="T43" s="277">
        <f ca="1">INDEX(OFFSET('Baseline NFPC'!$D$1:$W$1,$D43-1,0),MATCH(T$4,'Baseline NFPC'!$D$10:$W$10,0))</f>
        <v>-0.36979909999999999</v>
      </c>
      <c r="U43" s="277">
        <f ca="1">INDEX(OFFSET('Baseline NFPC'!$D$1:$W$1,$D43-1,0),MATCH(U$4,'Baseline NFPC'!$D$10:$W$10,0))</f>
        <v>-0.36979909999999999</v>
      </c>
      <c r="V43" s="277">
        <f ca="1">INDEX(OFFSET('Baseline NFPC'!$D$1:$W$1,$D43-1,0),MATCH(V$4,'Baseline NFPC'!$D$10:$W$10,0))</f>
        <v>-0.36979909999999999</v>
      </c>
      <c r="W43" s="277">
        <f ca="1">INDEX(OFFSET('Baseline NFPC'!$D$1:$W$1,$D43-1,0),MATCH(W$4,'Baseline NFPC'!$D$10:$W$10,0))</f>
        <v>-0.36979909999999999</v>
      </c>
      <c r="X43" s="277">
        <f ca="1">INDEX(OFFSET('Baseline NFPC'!$D$1:$W$1,$D43-1,0),MATCH(X$4,'Baseline NFPC'!$D$10:$W$10,0))</f>
        <v>-0.36979909999999999</v>
      </c>
      <c r="Y43" s="191"/>
    </row>
    <row r="44" spans="1:25" x14ac:dyDescent="0.2">
      <c r="A44" s="191"/>
      <c r="B44" s="284">
        <v>4</v>
      </c>
      <c r="C44" s="288" t="s">
        <v>151</v>
      </c>
      <c r="D44" s="289">
        <v>61</v>
      </c>
      <c r="E44" s="290" t="s">
        <v>150</v>
      </c>
      <c r="F44" s="277">
        <f ca="1">INDEX(OFFSET('Baseline NFPC'!$D$1:$W$1,$D44-1,0),MATCH(F$4,'Baseline NFPC'!$D$10:$W$10,0))</f>
        <v>0.81013486992259998</v>
      </c>
      <c r="G44" s="277">
        <f ca="1">INDEX(OFFSET('Baseline NFPC'!$D$1:$W$1,$D44-1,0),MATCH(G$4,'Baseline NFPC'!$D$10:$W$10,0))</f>
        <v>0.88576236173872713</v>
      </c>
      <c r="H44" s="277">
        <f ca="1">INDEX(OFFSET('Baseline NFPC'!$D$1:$W$1,$D44-1,0),MATCH(H$4,'Baseline NFPC'!$D$10:$W$10,0))</f>
        <v>0.81115718574598361</v>
      </c>
      <c r="I44" s="277">
        <f ca="1">INDEX(OFFSET('Baseline NFPC'!$D$1:$W$1,$D44-1,0),MATCH(I$4,'Baseline NFPC'!$D$10:$W$10,0))</f>
        <v>0.54864851751738741</v>
      </c>
      <c r="J44" s="277">
        <f ca="1">INDEX(OFFSET('Baseline NFPC'!$D$1:$W$1,$D44-1,0),MATCH(J$4,'Baseline NFPC'!$D$10:$W$10,0))</f>
        <v>0.36576387337997956</v>
      </c>
      <c r="K44" s="277">
        <f ca="1">INDEX(OFFSET('Baseline NFPC'!$D$1:$W$1,$D44-1,0),MATCH(K$4,'Baseline NFPC'!$D$10:$W$10,0))</f>
        <v>0.18288021127056769</v>
      </c>
      <c r="L44" s="277">
        <f ca="1">INDEX(OFFSET('Baseline NFPC'!$D$1:$W$1,$D44-1,0),MATCH(L$4,'Baseline NFPC'!$D$10:$W$10,0))</f>
        <v>-5.8447298257879865E-6</v>
      </c>
      <c r="M44" s="277">
        <f ca="1">INDEX(OFFSET('Baseline NFPC'!$D$1:$W$1,$D44-1,0),MATCH(M$4,'Baseline NFPC'!$D$10:$W$10,0))</f>
        <v>-5.4523229414016329E-6</v>
      </c>
      <c r="N44" s="277">
        <f ca="1">INDEX(OFFSET('Baseline NFPC'!$D$1:$W$1,$D44-1,0),MATCH(N$4,'Baseline NFPC'!$D$10:$W$10,0))</f>
        <v>-4.2744717076548254E-6</v>
      </c>
      <c r="O44" s="277">
        <f ca="1">INDEX(OFFSET('Baseline NFPC'!$D$1:$W$1,$D44-1,0),MATCH(O$4,'Baseline NFPC'!$D$10:$W$10,0))</f>
        <v>-4.6672874705055989E-6</v>
      </c>
      <c r="P44" s="277">
        <f ca="1">INDEX(OFFSET('Baseline NFPC'!$D$1:$W$1,$D44-1,0),MATCH(P$4,'Baseline NFPC'!$D$10:$W$10,0))</f>
        <v>-5.8457746891837917E-6</v>
      </c>
      <c r="Q44" s="277">
        <f ca="1">INDEX(OFFSET('Baseline NFPC'!$D$1:$W$1,$D44-1,0),MATCH(Q$4,'Baseline NFPC'!$D$10:$W$10,0))</f>
        <v>-5.4531409552582849E-6</v>
      </c>
      <c r="R44" s="277">
        <f ca="1">INDEX(OFFSET('Baseline NFPC'!$D$1:$W$1,$D44-1,0),MATCH(R$4,'Baseline NFPC'!$D$10:$W$10,0))</f>
        <v>-5.0602873974403551E-6</v>
      </c>
      <c r="S44" s="277">
        <f ca="1">INDEX(OFFSET('Baseline NFPC'!$D$1:$W$1,$D44-1,0),MATCH(S$4,'Baseline NFPC'!$D$10:$W$10,0))</f>
        <v>-5.0602873974403551E-6</v>
      </c>
      <c r="T44" s="277">
        <f ca="1">INDEX(OFFSET('Baseline NFPC'!$D$1:$W$1,$D44-1,0),MATCH(T$4,'Baseline NFPC'!$D$10:$W$10,0))</f>
        <v>-4.6669934564924636E-6</v>
      </c>
      <c r="U44" s="277">
        <f ca="1">INDEX(OFFSET('Baseline NFPC'!$D$1:$W$1,$D44-1,0),MATCH(U$4,'Baseline NFPC'!$D$10:$W$10,0))</f>
        <v>-5.4541993560919268E-6</v>
      </c>
      <c r="V44" s="277">
        <f ca="1">INDEX(OFFSET('Baseline NFPC'!$D$1:$W$1,$D44-1,0),MATCH(V$4,'Baseline NFPC'!$D$10:$W$10,0))</f>
        <v>-4.2723040608594332E-6</v>
      </c>
      <c r="W44" s="277">
        <f ca="1">INDEX(OFFSET('Baseline NFPC'!$D$1:$W$1,$D44-1,0),MATCH(W$4,'Baseline NFPC'!$D$10:$W$10,0))</f>
        <v>-4.2723040519998539E-6</v>
      </c>
      <c r="X44" s="277">
        <f ca="1">INDEX(OFFSET('Baseline NFPC'!$D$1:$W$1,$D44-1,0),MATCH(X$4,'Baseline NFPC'!$D$10:$W$10,0))</f>
        <v>-4.2723040608594332E-6</v>
      </c>
      <c r="Y44" s="191"/>
    </row>
    <row r="45" spans="1:25" x14ac:dyDescent="0.2">
      <c r="A45" s="191"/>
      <c r="B45" s="284">
        <v>5</v>
      </c>
      <c r="C45" s="288" t="s">
        <v>153</v>
      </c>
      <c r="D45" s="289">
        <v>67</v>
      </c>
      <c r="E45" s="290" t="s">
        <v>148</v>
      </c>
      <c r="F45" s="277">
        <f ca="1">INDEX(OFFSET('Baseline NFPC'!$D$1:$W$1,$D45-1,0),MATCH(F$4,'Baseline NFPC'!$D$10:$W$10,0))</f>
        <v>0.59124962330069897</v>
      </c>
      <c r="G45" s="277">
        <f ca="1">INDEX(OFFSET('Baseline NFPC'!$D$1:$W$1,$D45-1,0),MATCH(G$4,'Baseline NFPC'!$D$10:$W$10,0))</f>
        <v>0.78192213335374294</v>
      </c>
      <c r="H45" s="277">
        <f ca="1">INDEX(OFFSET('Baseline NFPC'!$D$1:$W$1,$D45-1,0),MATCH(H$4,'Baseline NFPC'!$D$10:$W$10,0))</f>
        <v>0.91978291732935979</v>
      </c>
      <c r="I45" s="277">
        <f ca="1">INDEX(OFFSET('Baseline NFPC'!$D$1:$W$1,$D45-1,0),MATCH(I$4,'Baseline NFPC'!$D$10:$W$10,0))</f>
        <v>1.1336269649459174</v>
      </c>
      <c r="J45" s="277">
        <f ca="1">INDEX(OFFSET('Baseline NFPC'!$D$1:$W$1,$D45-1,0),MATCH(J$4,'Baseline NFPC'!$D$10:$W$10,0))</f>
        <v>1.267360057846223</v>
      </c>
      <c r="K45" s="277">
        <f ca="1">INDEX(OFFSET('Baseline NFPC'!$D$1:$W$1,$D45-1,0),MATCH(K$4,'Baseline NFPC'!$D$10:$W$10,0))</f>
        <v>1.312974735064826</v>
      </c>
      <c r="L45" s="277">
        <f ca="1">INDEX(OFFSET('Baseline NFPC'!$D$1:$W$1,$D45-1,0),MATCH(L$4,'Baseline NFPC'!$D$10:$W$10,0))</f>
        <v>1.3622563349985088</v>
      </c>
      <c r="M45" s="277">
        <f ca="1">INDEX(OFFSET('Baseline NFPC'!$D$1:$W$1,$D45-1,0),MATCH(M$4,'Baseline NFPC'!$D$10:$W$10,0))</f>
        <v>1.4228971009635512</v>
      </c>
      <c r="N45" s="277">
        <f ca="1">INDEX(OFFSET('Baseline NFPC'!$D$1:$W$1,$D45-1,0),MATCH(N$4,'Baseline NFPC'!$D$10:$W$10,0))</f>
        <v>1.4943325309431068</v>
      </c>
      <c r="O45" s="277">
        <f ca="1">INDEX(OFFSET('Baseline NFPC'!$D$1:$W$1,$D45-1,0),MATCH(O$4,'Baseline NFPC'!$D$10:$W$10,0))</f>
        <v>1.5771275036123935</v>
      </c>
      <c r="P45" s="277">
        <f ca="1">INDEX(OFFSET('Baseline NFPC'!$D$1:$W$1,$D45-1,0),MATCH(P$4,'Baseline NFPC'!$D$10:$W$10,0))</f>
        <v>1.6710983702219211</v>
      </c>
      <c r="Q45" s="277">
        <f ca="1">INDEX(OFFSET('Baseline NFPC'!$D$1:$W$1,$D45-1,0),MATCH(Q$4,'Baseline NFPC'!$D$10:$W$10,0))</f>
        <v>1.7755910981569774</v>
      </c>
      <c r="R45" s="277">
        <f ca="1">INDEX(OFFSET('Baseline NFPC'!$D$1:$W$1,$D45-1,0),MATCH(R$4,'Baseline NFPC'!$D$10:$W$10,0))</f>
        <v>1.8847930292259247</v>
      </c>
      <c r="S45" s="277">
        <f ca="1">INDEX(OFFSET('Baseline NFPC'!$D$1:$W$1,$D45-1,0),MATCH(S$4,'Baseline NFPC'!$D$10:$W$10,0))</f>
        <v>1.9998413544702616</v>
      </c>
      <c r="T45" s="277">
        <f ca="1">INDEX(OFFSET('Baseline NFPC'!$D$1:$W$1,$D45-1,0),MATCH(T$4,'Baseline NFPC'!$D$10:$W$10,0))</f>
        <v>2.1204061600254889</v>
      </c>
      <c r="U45" s="277">
        <f ca="1">INDEX(OFFSET('Baseline NFPC'!$D$1:$W$1,$D45-1,0),MATCH(U$4,'Baseline NFPC'!$D$10:$W$10,0))</f>
        <v>2.2459461813307819</v>
      </c>
      <c r="V45" s="277">
        <f ca="1">INDEX(OFFSET('Baseline NFPC'!$D$1:$W$1,$D45-1,0),MATCH(V$4,'Baseline NFPC'!$D$10:$W$10,0))</f>
        <v>2.377102692297699</v>
      </c>
      <c r="W45" s="277">
        <f ca="1">INDEX(OFFSET('Baseline NFPC'!$D$1:$W$1,$D45-1,0),MATCH(W$4,'Baseline NFPC'!$D$10:$W$10,0))</f>
        <v>2.5148103023243409</v>
      </c>
      <c r="X45" s="277">
        <f ca="1">INDEX(OFFSET('Baseline NFPC'!$D$1:$W$1,$D45-1,0),MATCH(X$4,'Baseline NFPC'!$D$10:$W$10,0))</f>
        <v>2.6580092932940382</v>
      </c>
      <c r="Y45" s="191"/>
    </row>
    <row r="46" spans="1:25" x14ac:dyDescent="0.2">
      <c r="A46" s="191"/>
      <c r="B46" s="284">
        <v>6</v>
      </c>
      <c r="C46" s="291" t="s">
        <v>63</v>
      </c>
      <c r="D46" s="289">
        <v>36</v>
      </c>
      <c r="E46" s="290" t="s">
        <v>154</v>
      </c>
      <c r="F46" s="277">
        <f ca="1">INDEX(OFFSET('Baseline NFPC'!$D$1:$W$1,$D46-1,0),MATCH(F$4,'Baseline NFPC'!$D$10:$W$10,0))</f>
        <v>2.88</v>
      </c>
      <c r="G46" s="277">
        <f ca="1">INDEX(OFFSET('Baseline NFPC'!$D$1:$W$1,$D46-1,0),MATCH(G$4,'Baseline NFPC'!$D$10:$W$10,0))</f>
        <v>3.4270849999999999</v>
      </c>
      <c r="H46" s="277">
        <f ca="1">INDEX(OFFSET('Baseline NFPC'!$D$1:$W$1,$D46-1,0),MATCH(H$4,'Baseline NFPC'!$D$10:$W$10,0))</f>
        <v>3.0076990000000001</v>
      </c>
      <c r="I46" s="277">
        <f ca="1">INDEX(OFFSET('Baseline NFPC'!$D$1:$W$1,$D46-1,0),MATCH(I$4,'Baseline NFPC'!$D$10:$W$10,0))</f>
        <v>3.1136879999999998</v>
      </c>
      <c r="J46" s="277">
        <f ca="1">INDEX(OFFSET('Baseline NFPC'!$D$1:$W$1,$D46-1,0),MATCH(J$4,'Baseline NFPC'!$D$10:$W$10,0))</f>
        <v>3.2113594999999999</v>
      </c>
      <c r="K46" s="277">
        <f ca="1">INDEX(OFFSET('Baseline NFPC'!$D$1:$W$1,$D46-1,0),MATCH(K$4,'Baseline NFPC'!$D$10:$W$10,0))</f>
        <v>3.3090310000000001</v>
      </c>
      <c r="L46" s="277">
        <f ca="1">INDEX(OFFSET('Baseline NFPC'!$D$1:$W$1,$D46-1,0),MATCH(L$4,'Baseline NFPC'!$D$10:$W$10,0))</f>
        <v>3.4067025000000002</v>
      </c>
      <c r="M46" s="277">
        <f ca="1">INDEX(OFFSET('Baseline NFPC'!$D$1:$W$1,$D46-1,0),MATCH(M$4,'Baseline NFPC'!$D$10:$W$10,0))</f>
        <v>3.5043740000000003</v>
      </c>
      <c r="N46" s="277">
        <f ca="1">INDEX(OFFSET('Baseline NFPC'!$D$1:$W$1,$D46-1,0),MATCH(N$4,'Baseline NFPC'!$D$10:$W$10,0))</f>
        <v>3.6020455000000005</v>
      </c>
      <c r="O46" s="277">
        <f ca="1">INDEX(OFFSET('Baseline NFPC'!$D$1:$W$1,$D46-1,0),MATCH(O$4,'Baseline NFPC'!$D$10:$W$10,0))</f>
        <v>3.6997170000000006</v>
      </c>
      <c r="P46" s="277">
        <f ca="1">INDEX(OFFSET('Baseline NFPC'!$D$1:$W$1,$D46-1,0),MATCH(P$4,'Baseline NFPC'!$D$10:$W$10,0))</f>
        <v>3.7973885000000007</v>
      </c>
      <c r="Q46" s="277">
        <f ca="1">INDEX(OFFSET('Baseline NFPC'!$D$1:$W$1,$D46-1,0),MATCH(Q$4,'Baseline NFPC'!$D$10:$W$10,0))</f>
        <v>3.89506</v>
      </c>
      <c r="R46" s="277">
        <f ca="1">INDEX(OFFSET('Baseline NFPC'!$D$1:$W$1,$D46-1,0),MATCH(R$4,'Baseline NFPC'!$D$10:$W$10,0))</f>
        <v>3.9003069999999997</v>
      </c>
      <c r="S46" s="277">
        <f ca="1">INDEX(OFFSET('Baseline NFPC'!$D$1:$W$1,$D46-1,0),MATCH(S$4,'Baseline NFPC'!$D$10:$W$10,0))</f>
        <v>3.905554</v>
      </c>
      <c r="T46" s="277">
        <f ca="1">INDEX(OFFSET('Baseline NFPC'!$D$1:$W$1,$D46-1,0),MATCH(T$4,'Baseline NFPC'!$D$10:$W$10,0))</f>
        <v>3.9108010000000002</v>
      </c>
      <c r="U46" s="277">
        <f ca="1">INDEX(OFFSET('Baseline NFPC'!$D$1:$W$1,$D46-1,0),MATCH(U$4,'Baseline NFPC'!$D$10:$W$10,0))</f>
        <v>3.916048</v>
      </c>
      <c r="V46" s="277">
        <f ca="1">INDEX(OFFSET('Baseline NFPC'!$D$1:$W$1,$D46-1,0),MATCH(V$4,'Baseline NFPC'!$D$10:$W$10,0))</f>
        <v>3.9212949999999998</v>
      </c>
      <c r="W46" s="277">
        <f ca="1">INDEX(OFFSET('Baseline NFPC'!$D$1:$W$1,$D46-1,0),MATCH(W$4,'Baseline NFPC'!$D$10:$W$10,0))</f>
        <v>3.926542</v>
      </c>
      <c r="X46" s="277">
        <f ca="1">INDEX(OFFSET('Baseline NFPC'!$D$1:$W$1,$D46-1,0),MATCH(X$4,'Baseline NFPC'!$D$10:$W$10,0))</f>
        <v>3.9317890000000002</v>
      </c>
      <c r="Y46" s="191"/>
    </row>
    <row r="47" spans="1:25" x14ac:dyDescent="0.2">
      <c r="A47" s="191"/>
      <c r="B47" s="284">
        <v>7</v>
      </c>
      <c r="C47" s="291" t="s">
        <v>64</v>
      </c>
      <c r="D47" s="289">
        <v>37</v>
      </c>
      <c r="E47" s="290" t="s">
        <v>154</v>
      </c>
      <c r="F47" s="277">
        <f ca="1">INDEX(OFFSET('Baseline NFPC'!$D$1:$W$1,$D47-1,0),MATCH(F$4,'Baseline NFPC'!$D$10:$W$10,0))</f>
        <v>3.43</v>
      </c>
      <c r="G47" s="277">
        <f ca="1">INDEX(OFFSET('Baseline NFPC'!$D$1:$W$1,$D47-1,0),MATCH(G$4,'Baseline NFPC'!$D$10:$W$10,0))</f>
        <v>3.5292500000000002</v>
      </c>
      <c r="H47" s="277">
        <f ca="1">INDEX(OFFSET('Baseline NFPC'!$D$1:$W$1,$D47-1,0),MATCH(H$4,'Baseline NFPC'!$D$10:$W$10,0))</f>
        <v>2.0662500000000001</v>
      </c>
      <c r="I47" s="277">
        <f ca="1">INDEX(OFFSET('Baseline NFPC'!$D$1:$W$1,$D47-1,0),MATCH(I$4,'Baseline NFPC'!$D$10:$W$10,0))</f>
        <v>1.9957499999999999</v>
      </c>
      <c r="J47" s="277">
        <f ca="1">INDEX(OFFSET('Baseline NFPC'!$D$1:$W$1,$D47-1,0),MATCH(J$4,'Baseline NFPC'!$D$10:$W$10,0))</f>
        <v>2.079285</v>
      </c>
      <c r="K47" s="277">
        <f ca="1">INDEX(OFFSET('Baseline NFPC'!$D$1:$W$1,$D47-1,0),MATCH(K$4,'Baseline NFPC'!$D$10:$W$10,0))</f>
        <v>2.16282</v>
      </c>
      <c r="L47" s="277">
        <f ca="1">INDEX(OFFSET('Baseline NFPC'!$D$1:$W$1,$D47-1,0),MATCH(L$4,'Baseline NFPC'!$D$10:$W$10,0))</f>
        <v>2.2463549999999999</v>
      </c>
      <c r="M47" s="277">
        <f ca="1">INDEX(OFFSET('Baseline NFPC'!$D$1:$W$1,$D47-1,0),MATCH(M$4,'Baseline NFPC'!$D$10:$W$10,0))</f>
        <v>2.3298899999999998</v>
      </c>
      <c r="N47" s="277">
        <f ca="1">INDEX(OFFSET('Baseline NFPC'!$D$1:$W$1,$D47-1,0),MATCH(N$4,'Baseline NFPC'!$D$10:$W$10,0))</f>
        <v>2.4134249999999997</v>
      </c>
      <c r="O47" s="277">
        <f ca="1">INDEX(OFFSET('Baseline NFPC'!$D$1:$W$1,$D47-1,0),MATCH(O$4,'Baseline NFPC'!$D$10:$W$10,0))</f>
        <v>2.4969599999999996</v>
      </c>
      <c r="P47" s="277">
        <f ca="1">INDEX(OFFSET('Baseline NFPC'!$D$1:$W$1,$D47-1,0),MATCH(P$4,'Baseline NFPC'!$D$10:$W$10,0))</f>
        <v>2.5804949999999995</v>
      </c>
      <c r="Q47" s="277">
        <f ca="1">INDEX(OFFSET('Baseline NFPC'!$D$1:$W$1,$D47-1,0),MATCH(Q$4,'Baseline NFPC'!$D$10:$W$10,0))</f>
        <v>2.6640299999999999</v>
      </c>
      <c r="R47" s="277">
        <f ca="1">INDEX(OFFSET('Baseline NFPC'!$D$1:$W$1,$D47-1,0),MATCH(R$4,'Baseline NFPC'!$D$10:$W$10,0))</f>
        <v>2.6308284999999998</v>
      </c>
      <c r="S47" s="277">
        <f ca="1">INDEX(OFFSET('Baseline NFPC'!$D$1:$W$1,$D47-1,0),MATCH(S$4,'Baseline NFPC'!$D$10:$W$10,0))</f>
        <v>2.5976270000000001</v>
      </c>
      <c r="T47" s="277">
        <f ca="1">INDEX(OFFSET('Baseline NFPC'!$D$1:$W$1,$D47-1,0),MATCH(T$4,'Baseline NFPC'!$D$10:$W$10,0))</f>
        <v>2.5644255</v>
      </c>
      <c r="U47" s="277">
        <f ca="1">INDEX(OFFSET('Baseline NFPC'!$D$1:$W$1,$D47-1,0),MATCH(U$4,'Baseline NFPC'!$D$10:$W$10,0))</f>
        <v>2.5312239999999999</v>
      </c>
      <c r="V47" s="277">
        <f ca="1">INDEX(OFFSET('Baseline NFPC'!$D$1:$W$1,$D47-1,0),MATCH(V$4,'Baseline NFPC'!$D$10:$W$10,0))</f>
        <v>2.4980224999999998</v>
      </c>
      <c r="W47" s="277">
        <f ca="1">INDEX(OFFSET('Baseline NFPC'!$D$1:$W$1,$D47-1,0),MATCH(W$4,'Baseline NFPC'!$D$10:$W$10,0))</f>
        <v>2.4648209999999997</v>
      </c>
      <c r="X47" s="277">
        <f ca="1">INDEX(OFFSET('Baseline NFPC'!$D$1:$W$1,$D47-1,0),MATCH(X$4,'Baseline NFPC'!$D$10:$W$10,0))</f>
        <v>2.4316195</v>
      </c>
      <c r="Y47" s="191"/>
    </row>
    <row r="48" spans="1:25" x14ac:dyDescent="0.2">
      <c r="A48" s="191"/>
      <c r="B48" s="284">
        <v>8</v>
      </c>
      <c r="C48" s="288" t="s">
        <v>155</v>
      </c>
      <c r="D48" s="289">
        <v>35</v>
      </c>
      <c r="E48" s="290" t="s">
        <v>154</v>
      </c>
      <c r="F48" s="277">
        <f ca="1">INDEX(OFFSET('Baseline NFPC'!$D$1:$W$1,$D48-1,0),MATCH(F$4,'Baseline NFPC'!$D$10:$W$10,0))</f>
        <v>1.699492</v>
      </c>
      <c r="G48" s="277">
        <f ca="1">INDEX(OFFSET('Baseline NFPC'!$D$1:$W$1,$D48-1,0),MATCH(G$4,'Baseline NFPC'!$D$10:$W$10,0))</f>
        <v>2.2164999999999999</v>
      </c>
      <c r="H48" s="277">
        <f ca="1">INDEX(OFFSET('Baseline NFPC'!$D$1:$W$1,$D48-1,0),MATCH(H$4,'Baseline NFPC'!$D$10:$W$10,0))</f>
        <v>2.5547230000000001</v>
      </c>
      <c r="I48" s="277">
        <f ca="1">INDEX(OFFSET('Baseline NFPC'!$D$1:$W$1,$D48-1,0),MATCH(I$4,'Baseline NFPC'!$D$10:$W$10,0))</f>
        <v>2.893256</v>
      </c>
      <c r="J48" s="277">
        <f ca="1">INDEX(OFFSET('Baseline NFPC'!$D$1:$W$1,$D48-1,0),MATCH(J$4,'Baseline NFPC'!$D$10:$W$10,0))</f>
        <v>2.9606043041704009</v>
      </c>
      <c r="K48" s="277">
        <f ca="1">INDEX(OFFSET('Baseline NFPC'!$D$1:$W$1,$D48-1,0),MATCH(K$4,'Baseline NFPC'!$D$10:$W$10,0))</f>
        <v>3.0131014629797841</v>
      </c>
      <c r="L48" s="277">
        <f ca="1">INDEX(OFFSET('Baseline NFPC'!$D$1:$W$1,$D48-1,0),MATCH(L$4,'Baseline NFPC'!$D$10:$W$10,0))</f>
        <v>3.0718205787824284</v>
      </c>
      <c r="M48" s="277">
        <f ca="1">INDEX(OFFSET('Baseline NFPC'!$D$1:$W$1,$D48-1,0),MATCH(M$4,'Baseline NFPC'!$D$10:$W$10,0))</f>
        <v>3.1357199599519898</v>
      </c>
      <c r="N48" s="277">
        <f ca="1">INDEX(OFFSET('Baseline NFPC'!$D$1:$W$1,$D48-1,0),MATCH(N$4,'Baseline NFPC'!$D$10:$W$10,0))</f>
        <v>3.2054069803337533</v>
      </c>
      <c r="O48" s="277">
        <f ca="1">INDEX(OFFSET('Baseline NFPC'!$D$1:$W$1,$D48-1,0),MATCH(O$4,'Baseline NFPC'!$D$10:$W$10,0))</f>
        <v>3.2800706243582374</v>
      </c>
      <c r="P48" s="277">
        <f ca="1">INDEX(OFFSET('Baseline NFPC'!$D$1:$W$1,$D48-1,0),MATCH(P$4,'Baseline NFPC'!$D$10:$W$10,0))</f>
        <v>3.3589471518053231</v>
      </c>
      <c r="Q48" s="277">
        <f ca="1">INDEX(OFFSET('Baseline NFPC'!$D$1:$W$1,$D48-1,0),MATCH(Q$4,'Baseline NFPC'!$D$10:$W$10,0))</f>
        <v>3.441288787303554</v>
      </c>
      <c r="R48" s="277">
        <f ca="1">INDEX(OFFSET('Baseline NFPC'!$D$1:$W$1,$D48-1,0),MATCH(R$4,'Baseline NFPC'!$D$10:$W$10,0))</f>
        <v>3.5117928324550469</v>
      </c>
      <c r="S48" s="277">
        <f ca="1">INDEX(OFFSET('Baseline NFPC'!$D$1:$W$1,$D48-1,0),MATCH(S$4,'Baseline NFPC'!$D$10:$W$10,0))</f>
        <v>3.5728034616790314</v>
      </c>
      <c r="T48" s="277">
        <f ca="1">INDEX(OFFSET('Baseline NFPC'!$D$1:$W$1,$D48-1,0),MATCH(T$4,'Baseline NFPC'!$D$10:$W$10,0))</f>
        <v>3.6254055220362731</v>
      </c>
      <c r="U48" s="277">
        <f ca="1">INDEX(OFFSET('Baseline NFPC'!$D$1:$W$1,$D48-1,0),MATCH(U$4,'Baseline NFPC'!$D$10:$W$10,0))</f>
        <v>3.6705978945489752</v>
      </c>
      <c r="V48" s="277">
        <f ca="1">INDEX(OFFSET('Baseline NFPC'!$D$1:$W$1,$D48-1,0),MATCH(V$4,'Baseline NFPC'!$D$10:$W$10,0))</f>
        <v>3.7094764880173141</v>
      </c>
      <c r="W48" s="277">
        <f ca="1">INDEX(OFFSET('Baseline NFPC'!$D$1:$W$1,$D48-1,0),MATCH(W$4,'Baseline NFPC'!$D$10:$W$10,0))</f>
        <v>3.7430062495149063</v>
      </c>
      <c r="X48" s="277">
        <f ca="1">INDEX(OFFSET('Baseline NFPC'!$D$1:$W$1,$D48-1,0),MATCH(X$4,'Baseline NFPC'!$D$10:$W$10,0))</f>
        <v>3.7719818638754132</v>
      </c>
      <c r="Y48" s="191"/>
    </row>
    <row r="49" spans="1:25" x14ac:dyDescent="0.2">
      <c r="A49" s="191"/>
      <c r="B49" s="284">
        <v>9</v>
      </c>
      <c r="C49" s="292" t="s">
        <v>40</v>
      </c>
      <c r="D49" s="289">
        <v>26</v>
      </c>
      <c r="E49" s="290" t="s">
        <v>157</v>
      </c>
      <c r="F49" s="277">
        <f ca="1">(INDEX(OFFSET('Baseline NFPC'!$D$1:$W$1,$D49-1,0),MATCH(F$4,'Baseline NFPC'!$D$10:$W$10,0))/INDEX(OFFSET('Baseline NFPC'!$D$1:$W$1,$D49-1,0),MATCH(E$4,'Baseline NFPC'!$D$10:$W$10,0))-1)*100</f>
        <v>3.3423690000000006</v>
      </c>
      <c r="G49" s="277">
        <f ca="1">(INDEX(OFFSET('Baseline NFPC'!$D$1:$W$1,$D49-1,0),MATCH(G$4,'Baseline NFPC'!$D$10:$W$10,0))/INDEX(OFFSET('Baseline NFPC'!$D$1:$W$1,$D49-1,0),MATCH(F$4,'Baseline NFPC'!$D$10:$W$10,0))-1)*100</f>
        <v>2.3658119999999894</v>
      </c>
      <c r="H49" s="277">
        <f ca="1">(INDEX(OFFSET('Baseline NFPC'!$D$1:$W$1,$D49-1,0),MATCH(H$4,'Baseline NFPC'!$D$10:$W$10,0))/INDEX(OFFSET('Baseline NFPC'!$D$1:$W$1,$D49-1,0),MATCH(G$4,'Baseline NFPC'!$D$10:$W$10,0))-1)*100</f>
        <v>2.5020129999999918</v>
      </c>
      <c r="I49" s="277">
        <f ca="1">(INDEX(OFFSET('Baseline NFPC'!$D$1:$W$1,$D49-1,0),MATCH(I$4,'Baseline NFPC'!$D$10:$W$10,0))/INDEX(OFFSET('Baseline NFPC'!$D$1:$W$1,$D49-1,0),MATCH(H$4,'Baseline NFPC'!$D$10:$W$10,0))-1)*100</f>
        <v>2.1233400000000069</v>
      </c>
      <c r="J49" s="277">
        <f ca="1">(INDEX(OFFSET('Baseline NFPC'!$D$1:$W$1,$D49-1,0),MATCH(J$4,'Baseline NFPC'!$D$10:$W$10,0))/INDEX(OFFSET('Baseline NFPC'!$D$1:$W$1,$D49-1,0),MATCH(I$4,'Baseline NFPC'!$D$10:$W$10,0))-1)*100</f>
        <v>2.1318940000000008</v>
      </c>
      <c r="K49" s="277">
        <f ca="1">(INDEX(OFFSET('Baseline NFPC'!$D$1:$W$1,$D49-1,0),MATCH(K$4,'Baseline NFPC'!$D$10:$W$10,0))/INDEX(OFFSET('Baseline NFPC'!$D$1:$W$1,$D49-1,0),MATCH(J$4,'Baseline NFPC'!$D$10:$W$10,0))-1)*100</f>
        <v>1.7966740000000092</v>
      </c>
      <c r="L49" s="277">
        <f ca="1">(INDEX(OFFSET('Baseline NFPC'!$D$1:$W$1,$D49-1,0),MATCH(L$4,'Baseline NFPC'!$D$10:$W$10,0))/INDEX(OFFSET('Baseline NFPC'!$D$1:$W$1,$D49-1,0),MATCH(K$4,'Baseline NFPC'!$D$10:$W$10,0))-1)*100</f>
        <v>1.7906430000000029</v>
      </c>
      <c r="M49" s="277">
        <f ca="1">(INDEX(OFFSET('Baseline NFPC'!$D$1:$W$1,$D49-1,0),MATCH(M$4,'Baseline NFPC'!$D$10:$W$10,0))/INDEX(OFFSET('Baseline NFPC'!$D$1:$W$1,$D49-1,0),MATCH(L$4,'Baseline NFPC'!$D$10:$W$10,0))-1)*100</f>
        <v>1.6801889999999986</v>
      </c>
      <c r="N49" s="277">
        <f ca="1">(INDEX(OFFSET('Baseline NFPC'!$D$1:$W$1,$D49-1,0),MATCH(N$4,'Baseline NFPC'!$D$10:$W$10,0))/INDEX(OFFSET('Baseline NFPC'!$D$1:$W$1,$D49-1,0),MATCH(M$4,'Baseline NFPC'!$D$10:$W$10,0))-1)*100</f>
        <v>1.6257509999999975</v>
      </c>
      <c r="O49" s="277">
        <f ca="1">(INDEX(OFFSET('Baseline NFPC'!$D$1:$W$1,$D49-1,0),MATCH(O$4,'Baseline NFPC'!$D$10:$W$10,0))/INDEX(OFFSET('Baseline NFPC'!$D$1:$W$1,$D49-1,0),MATCH(N$4,'Baseline NFPC'!$D$10:$W$10,0))-1)*100</f>
        <v>1.5743440000000053</v>
      </c>
      <c r="P49" s="277">
        <f ca="1">(INDEX(OFFSET('Baseline NFPC'!$D$1:$W$1,$D49-1,0),MATCH(P$4,'Baseline NFPC'!$D$10:$W$10,0))/INDEX(OFFSET('Baseline NFPC'!$D$1:$W$1,$D49-1,0),MATCH(O$4,'Baseline NFPC'!$D$10:$W$10,0))-1)*100</f>
        <v>1.5709060000000052</v>
      </c>
      <c r="Q49" s="277">
        <f ca="1">(INDEX(OFFSET('Baseline NFPC'!$D$1:$W$1,$D49-1,0),MATCH(Q$4,'Baseline NFPC'!$D$10:$W$10,0))/INDEX(OFFSET('Baseline NFPC'!$D$1:$W$1,$D49-1,0),MATCH(P$4,'Baseline NFPC'!$D$10:$W$10,0))-1)*100</f>
        <v>1.6214409999999901</v>
      </c>
      <c r="R49" s="277">
        <f ca="1">(INDEX(OFFSET('Baseline NFPC'!$D$1:$W$1,$D49-1,0),MATCH(R$4,'Baseline NFPC'!$D$10:$W$10,0))/INDEX(OFFSET('Baseline NFPC'!$D$1:$W$1,$D49-1,0),MATCH(Q$4,'Baseline NFPC'!$D$10:$W$10,0))-1)*100</f>
        <v>1.5645769999999892</v>
      </c>
      <c r="S49" s="277">
        <f ca="1">(INDEX(OFFSET('Baseline NFPC'!$D$1:$W$1,$D49-1,0),MATCH(S$4,'Baseline NFPC'!$D$10:$W$10,0))/INDEX(OFFSET('Baseline NFPC'!$D$1:$W$1,$D49-1,0),MATCH(R$4,'Baseline NFPC'!$D$10:$W$10,0))-1)*100</f>
        <v>1.5077140000000044</v>
      </c>
      <c r="T49" s="277">
        <f ca="1">(INDEX(OFFSET('Baseline NFPC'!$D$1:$W$1,$D49-1,0),MATCH(T$4,'Baseline NFPC'!$D$10:$W$10,0))/INDEX(OFFSET('Baseline NFPC'!$D$1:$W$1,$D49-1,0),MATCH(S$4,'Baseline NFPC'!$D$10:$W$10,0))-1)*100</f>
        <v>1.4508500000000035</v>
      </c>
      <c r="U49" s="277">
        <f ca="1">(INDEX(OFFSET('Baseline NFPC'!$D$1:$W$1,$D49-1,0),MATCH(U$4,'Baseline NFPC'!$D$10:$W$10,0))/INDEX(OFFSET('Baseline NFPC'!$D$1:$W$1,$D49-1,0),MATCH(T$4,'Baseline NFPC'!$D$10:$W$10,0))-1)*100</f>
        <v>1.3712039999999925</v>
      </c>
      <c r="V49" s="277">
        <f ca="1">(INDEX(OFFSET('Baseline NFPC'!$D$1:$W$1,$D49-1,0),MATCH(V$4,'Baseline NFPC'!$D$10:$W$10,0))/INDEX(OFFSET('Baseline NFPC'!$D$1:$W$1,$D49-1,0),MATCH(U$4,'Baseline NFPC'!$D$10:$W$10,0))-1)*100</f>
        <v>1.2780199999999908</v>
      </c>
      <c r="W49" s="277">
        <f ca="1">(INDEX(OFFSET('Baseline NFPC'!$D$1:$W$1,$D49-1,0),MATCH(W$4,'Baseline NFPC'!$D$10:$W$10,0))/INDEX(OFFSET('Baseline NFPC'!$D$1:$W$1,$D49-1,0),MATCH(V$4,'Baseline NFPC'!$D$10:$W$10,0))-1)*100</f>
        <v>1.1673700000000009</v>
      </c>
      <c r="X49" s="277">
        <f ca="1">(INDEX(OFFSET('Baseline NFPC'!$D$1:$W$1,$D49-1,0),MATCH(X$4,'Baseline NFPC'!$D$10:$W$10,0))/INDEX(OFFSET('Baseline NFPC'!$D$1:$W$1,$D49-1,0),MATCH(W$4,'Baseline NFPC'!$D$10:$W$10,0))-1)*100</f>
        <v>1.0959769999999924</v>
      </c>
      <c r="Y49" s="191"/>
    </row>
    <row r="50" spans="1:25" x14ac:dyDescent="0.2">
      <c r="A50" s="191"/>
      <c r="B50" s="284">
        <v>10</v>
      </c>
      <c r="C50" s="280" t="s">
        <v>158</v>
      </c>
      <c r="D50" s="289">
        <v>23</v>
      </c>
      <c r="E50" s="290" t="s">
        <v>157</v>
      </c>
      <c r="F50" s="277">
        <f ca="1">INDEX(OFFSET('Baseline NFPC'!$D$1:$W$1,$D50-1,0),MATCH(F$4,'Baseline NFPC'!$D$10:$W$10,0))</f>
        <v>0.34227229999999997</v>
      </c>
      <c r="G50" s="277">
        <f ca="1">INDEX(OFFSET('Baseline NFPC'!$D$1:$W$1,$D50-1,0),MATCH(G$4,'Baseline NFPC'!$D$10:$W$10,0))</f>
        <v>2.167764</v>
      </c>
      <c r="H50" s="277">
        <f ca="1">INDEX(OFFSET('Baseline NFPC'!$D$1:$W$1,$D50-1,0),MATCH(H$4,'Baseline NFPC'!$D$10:$W$10,0))</f>
        <v>2.6980230000000001</v>
      </c>
      <c r="I50" s="277">
        <f ca="1">INDEX(OFFSET('Baseline NFPC'!$D$1:$W$1,$D50-1,0),MATCH(I$4,'Baseline NFPC'!$D$10:$W$10,0))</f>
        <v>2.8091689999999998</v>
      </c>
      <c r="J50" s="277">
        <f ca="1">INDEX(OFFSET('Baseline NFPC'!$D$1:$W$1,$D50-1,0),MATCH(J$4,'Baseline NFPC'!$D$10:$W$10,0))</f>
        <v>2.6065499999999999</v>
      </c>
      <c r="K50" s="277">
        <f ca="1">INDEX(OFFSET('Baseline NFPC'!$D$1:$W$1,$D50-1,0),MATCH(K$4,'Baseline NFPC'!$D$10:$W$10,0))</f>
        <v>2.2675809999999998</v>
      </c>
      <c r="L50" s="277">
        <f ca="1">INDEX(OFFSET('Baseline NFPC'!$D$1:$W$1,$D50-1,0),MATCH(L$4,'Baseline NFPC'!$D$10:$W$10,0))</f>
        <v>2.25936</v>
      </c>
      <c r="M50" s="277">
        <f ca="1">INDEX(OFFSET('Baseline NFPC'!$D$1:$W$1,$D50-1,0),MATCH(M$4,'Baseline NFPC'!$D$10:$W$10,0))</f>
        <v>1.680188</v>
      </c>
      <c r="N50" s="277">
        <f ca="1">INDEX(OFFSET('Baseline NFPC'!$D$1:$W$1,$D50-1,0),MATCH(N$4,'Baseline NFPC'!$D$10:$W$10,0))</f>
        <v>1.625748</v>
      </c>
      <c r="O50" s="277">
        <f ca="1">INDEX(OFFSET('Baseline NFPC'!$D$1:$W$1,$D50-1,0),MATCH(O$4,'Baseline NFPC'!$D$10:$W$10,0))</f>
        <v>1.5743450000000001</v>
      </c>
      <c r="P50" s="277">
        <f ca="1">INDEX(OFFSET('Baseline NFPC'!$D$1:$W$1,$D50-1,0),MATCH(P$4,'Baseline NFPC'!$D$10:$W$10,0))</f>
        <v>1.5709090000000001</v>
      </c>
      <c r="Q50" s="277">
        <f ca="1">INDEX(OFFSET('Baseline NFPC'!$D$1:$W$1,$D50-1,0),MATCH(Q$4,'Baseline NFPC'!$D$10:$W$10,0))</f>
        <v>1.62144</v>
      </c>
      <c r="R50" s="277">
        <f ca="1">INDEX(OFFSET('Baseline NFPC'!$D$1:$W$1,$D50-1,0),MATCH(R$4,'Baseline NFPC'!$D$10:$W$10,0))</f>
        <v>1.564576</v>
      </c>
      <c r="S50" s="277">
        <f ca="1">INDEX(OFFSET('Baseline NFPC'!$D$1:$W$1,$D50-1,0),MATCH(S$4,'Baseline NFPC'!$D$10:$W$10,0))</f>
        <v>1.507714</v>
      </c>
      <c r="T50" s="277">
        <f ca="1">INDEX(OFFSET('Baseline NFPC'!$D$1:$W$1,$D50-1,0),MATCH(T$4,'Baseline NFPC'!$D$10:$W$10,0))</f>
        <v>1.4508490000000001</v>
      </c>
      <c r="U50" s="277">
        <f ca="1">INDEX(OFFSET('Baseline NFPC'!$D$1:$W$1,$D50-1,0),MATCH(U$4,'Baseline NFPC'!$D$10:$W$10,0))</f>
        <v>1.3712059999999999</v>
      </c>
      <c r="V50" s="277">
        <f ca="1">INDEX(OFFSET('Baseline NFPC'!$D$1:$W$1,$D50-1,0),MATCH(V$4,'Baseline NFPC'!$D$10:$W$10,0))</f>
        <v>1.278017</v>
      </c>
      <c r="W50" s="277">
        <f ca="1">INDEX(OFFSET('Baseline NFPC'!$D$1:$W$1,$D50-1,0),MATCH(W$4,'Baseline NFPC'!$D$10:$W$10,0))</f>
        <v>1.16737</v>
      </c>
      <c r="X50" s="277">
        <f ca="1">INDEX(OFFSET('Baseline NFPC'!$D$1:$W$1,$D50-1,0),MATCH(X$4,'Baseline NFPC'!$D$10:$W$10,0))</f>
        <v>1.095977</v>
      </c>
      <c r="Y50" s="191"/>
    </row>
    <row r="51" spans="1:25" x14ac:dyDescent="0.2">
      <c r="A51" s="191"/>
      <c r="B51" s="284">
        <v>11</v>
      </c>
      <c r="C51" s="293" t="s">
        <v>159</v>
      </c>
      <c r="D51" s="289">
        <v>41</v>
      </c>
      <c r="E51" s="290" t="s">
        <v>157</v>
      </c>
      <c r="F51" s="277">
        <f ca="1">INDEX(OFFSET('Baseline NFPC'!$D$1:$W$1,$D51-1,0),MATCH(F$4,'Baseline NFPC'!$D$10:$W$10,0))</f>
        <v>9.0217489999999998</v>
      </c>
      <c r="G51" s="277">
        <f ca="1">INDEX(OFFSET('Baseline NFPC'!$D$1:$W$1,$D51-1,0),MATCH(G$4,'Baseline NFPC'!$D$10:$W$10,0))</f>
        <v>3.6147499999999999</v>
      </c>
      <c r="H51" s="277">
        <f ca="1">INDEX(OFFSET('Baseline NFPC'!$D$1:$W$1,$D51-1,0),MATCH(H$4,'Baseline NFPC'!$D$10:$W$10,0))</f>
        <v>3.4727869999999998</v>
      </c>
      <c r="I51" s="277">
        <f ca="1">INDEX(OFFSET('Baseline NFPC'!$D$1:$W$1,$D51-1,0),MATCH(I$4,'Baseline NFPC'!$D$10:$W$10,0))</f>
        <v>2.2027230000000002</v>
      </c>
      <c r="J51" s="277">
        <f ca="1">INDEX(OFFSET('Baseline NFPC'!$D$1:$W$1,$D51-1,0),MATCH(J$4,'Baseline NFPC'!$D$10:$W$10,0))</f>
        <v>2.2211326250000001</v>
      </c>
      <c r="K51" s="277">
        <f ca="1">INDEX(OFFSET('Baseline NFPC'!$D$1:$W$1,$D51-1,0),MATCH(K$4,'Baseline NFPC'!$D$10:$W$10,0))</f>
        <v>2.2395422500000004</v>
      </c>
      <c r="L51" s="277">
        <f ca="1">INDEX(OFFSET('Baseline NFPC'!$D$1:$W$1,$D51-1,0),MATCH(L$4,'Baseline NFPC'!$D$10:$W$10,0))</f>
        <v>2.2579518750000003</v>
      </c>
      <c r="M51" s="277">
        <f ca="1">INDEX(OFFSET('Baseline NFPC'!$D$1:$W$1,$D51-1,0),MATCH(M$4,'Baseline NFPC'!$D$10:$W$10,0))</f>
        <v>2.2763615000000001</v>
      </c>
      <c r="N51" s="277">
        <f ca="1">INDEX(OFFSET('Baseline NFPC'!$D$1:$W$1,$D51-1,0),MATCH(N$4,'Baseline NFPC'!$D$10:$W$10,0))</f>
        <v>2.294771125</v>
      </c>
      <c r="O51" s="277">
        <f ca="1">INDEX(OFFSET('Baseline NFPC'!$D$1:$W$1,$D51-1,0),MATCH(O$4,'Baseline NFPC'!$D$10:$W$10,0))</f>
        <v>2.3131807499999999</v>
      </c>
      <c r="P51" s="277">
        <f ca="1">INDEX(OFFSET('Baseline NFPC'!$D$1:$W$1,$D51-1,0),MATCH(P$4,'Baseline NFPC'!$D$10:$W$10,0))</f>
        <v>2.3315903750000002</v>
      </c>
      <c r="Q51" s="277">
        <f ca="1">INDEX(OFFSET('Baseline NFPC'!$D$1:$W$1,$D51-1,0),MATCH(Q$4,'Baseline NFPC'!$D$10:$W$10,0))</f>
        <v>2.35</v>
      </c>
      <c r="R51" s="277">
        <f ca="1">INDEX(OFFSET('Baseline NFPC'!$D$1:$W$1,$D51-1,0),MATCH(R$4,'Baseline NFPC'!$D$10:$W$10,0))</f>
        <v>2.3325</v>
      </c>
      <c r="S51" s="277">
        <f ca="1">INDEX(OFFSET('Baseline NFPC'!$D$1:$W$1,$D51-1,0),MATCH(S$4,'Baseline NFPC'!$D$10:$W$10,0))</f>
        <v>2.3149999999999999</v>
      </c>
      <c r="T51" s="277">
        <f ca="1">INDEX(OFFSET('Baseline NFPC'!$D$1:$W$1,$D51-1,0),MATCH(T$4,'Baseline NFPC'!$D$10:$W$10,0))</f>
        <v>2.2974999999999999</v>
      </c>
      <c r="U51" s="277">
        <f ca="1">INDEX(OFFSET('Baseline NFPC'!$D$1:$W$1,$D51-1,0),MATCH(U$4,'Baseline NFPC'!$D$10:$W$10,0))</f>
        <v>2.2800000000000002</v>
      </c>
      <c r="V51" s="277">
        <f ca="1">INDEX(OFFSET('Baseline NFPC'!$D$1:$W$1,$D51-1,0),MATCH(V$4,'Baseline NFPC'!$D$10:$W$10,0))</f>
        <v>2.2625000000000002</v>
      </c>
      <c r="W51" s="277">
        <f ca="1">INDEX(OFFSET('Baseline NFPC'!$D$1:$W$1,$D51-1,0),MATCH(W$4,'Baseline NFPC'!$D$10:$W$10,0))</f>
        <v>2.2450000000000001</v>
      </c>
      <c r="X51" s="277">
        <f ca="1">INDEX(OFFSET('Baseline NFPC'!$D$1:$W$1,$D51-1,0),MATCH(X$4,'Baseline NFPC'!$D$10:$W$10,0))</f>
        <v>2.2275</v>
      </c>
      <c r="Y51" s="191"/>
    </row>
    <row r="52" spans="1:25" x14ac:dyDescent="0.2">
      <c r="A52" s="191"/>
      <c r="B52" s="284">
        <v>12</v>
      </c>
      <c r="C52" s="280" t="s">
        <v>160</v>
      </c>
      <c r="D52" s="289">
        <v>32</v>
      </c>
      <c r="E52" s="290" t="s">
        <v>157</v>
      </c>
      <c r="F52" s="277">
        <f ca="1">INDEX(OFFSET('Baseline NFPC'!$D$1:$W$1,$D52-1,0),MATCH(F$4,'Baseline NFPC'!$D$10:$W$10,0))</f>
        <v>9.3949002478024966</v>
      </c>
      <c r="G52" s="277">
        <f ca="1">INDEX(OFFSET('Baseline NFPC'!$D$1:$W$1,$D52-1,0),MATCH(G$4,'Baseline NFPC'!$D$10:$W$10,0))</f>
        <v>5.8608732491900017</v>
      </c>
      <c r="H52" s="277">
        <f ca="1">INDEX(OFFSET('Baseline NFPC'!$D$1:$W$1,$D52-1,0),MATCH(H$4,'Baseline NFPC'!$D$10:$W$10,0))</f>
        <v>6.2645065920009957</v>
      </c>
      <c r="I52" s="277">
        <f ca="1">INDEX(OFFSET('Baseline NFPC'!$D$1:$W$1,$D52-1,0),MATCH(I$4,'Baseline NFPC'!$D$10:$W$10,0))</f>
        <v>5.0737702116718575</v>
      </c>
      <c r="J52" s="277">
        <f ca="1">INDEX(OFFSET('Baseline NFPC'!$D$1:$W$1,$D52-1,0),MATCH(J$4,'Baseline NFPC'!$D$10:$W$10,0))</f>
        <v>4.8855775574369487</v>
      </c>
      <c r="K52" s="277">
        <f ca="1">INDEX(OFFSET('Baseline NFPC'!$D$1:$W$1,$D52-1,0),MATCH(K$4,'Baseline NFPC'!$D$10:$W$10,0))</f>
        <v>4.5579066845479632</v>
      </c>
      <c r="L52" s="277">
        <f ca="1">INDEX(OFFSET('Baseline NFPC'!$D$1:$W$1,$D52-1,0),MATCH(L$4,'Baseline NFPC'!$D$10:$W$10,0))</f>
        <v>4.5683271364829858</v>
      </c>
      <c r="M52" s="277">
        <f ca="1">INDEX(OFFSET('Baseline NFPC'!$D$1:$W$1,$D52-1,0),MATCH(M$4,'Baseline NFPC'!$D$10:$W$10,0))</f>
        <v>3.9947966527596135</v>
      </c>
      <c r="N52" s="277">
        <f ca="1">INDEX(OFFSET('Baseline NFPC'!$D$1:$W$1,$D52-1,0),MATCH(N$4,'Baseline NFPC'!$D$10:$W$10,0))</f>
        <v>3.9578263206692554</v>
      </c>
      <c r="O52" s="277">
        <f ca="1">INDEX(OFFSET('Baseline NFPC'!$D$1:$W$1,$D52-1,0),MATCH(O$4,'Baseline NFPC'!$D$10:$W$10,0))</f>
        <v>3.9239431954785964</v>
      </c>
      <c r="P52" s="277">
        <f ca="1">INDEX(OFFSET('Baseline NFPC'!$D$1:$W$1,$D52-1,0),MATCH(P$4,'Baseline NFPC'!$D$10:$W$10,0))</f>
        <v>3.9391265380440021</v>
      </c>
      <c r="Q52" s="277">
        <f ca="1">INDEX(OFFSET('Baseline NFPC'!$D$1:$W$1,$D52-1,0),MATCH(Q$4,'Baseline NFPC'!$D$10:$W$10,0))</f>
        <v>4.0095438400000072</v>
      </c>
      <c r="R52" s="277">
        <f ca="1">INDEX(OFFSET('Baseline NFPC'!$D$1:$W$1,$D52-1,0),MATCH(R$4,'Baseline NFPC'!$D$10:$W$10,0))</f>
        <v>3.9335697352000043</v>
      </c>
      <c r="S52" s="277">
        <f ca="1">INDEX(OFFSET('Baseline NFPC'!$D$1:$W$1,$D52-1,0),MATCH(S$4,'Baseline NFPC'!$D$10:$W$10,0))</f>
        <v>3.8576175791000145</v>
      </c>
      <c r="T52" s="277">
        <f ca="1">INDEX(OFFSET('Baseline NFPC'!$D$1:$W$1,$D52-1,0),MATCH(T$4,'Baseline NFPC'!$D$10:$W$10,0))</f>
        <v>3.7816822557749985</v>
      </c>
      <c r="U52" s="277">
        <f ca="1">INDEX(OFFSET('Baseline NFPC'!$D$1:$W$1,$D52-1,0),MATCH(U$4,'Baseline NFPC'!$D$10:$W$10,0))</f>
        <v>3.6824694968000005</v>
      </c>
      <c r="V52" s="277">
        <f ca="1">INDEX(OFFSET('Baseline NFPC'!$D$1:$W$1,$D52-1,0),MATCH(V$4,'Baseline NFPC'!$D$10:$W$10,0))</f>
        <v>3.5694321346249946</v>
      </c>
      <c r="W52" s="277">
        <f ca="1">INDEX(OFFSET('Baseline NFPC'!$D$1:$W$1,$D52-1,0),MATCH(W$4,'Baseline NFPC'!$D$10:$W$10,0))</f>
        <v>3.4385774565000027</v>
      </c>
      <c r="X52" s="277">
        <f ca="1">INDEX(OFFSET('Baseline NFPC'!$D$1:$W$1,$D52-1,0),MATCH(X$4,'Baseline NFPC'!$D$10:$W$10,0))</f>
        <v>3.3478898876750041</v>
      </c>
      <c r="Y52" s="191"/>
    </row>
    <row r="53" spans="1:25" x14ac:dyDescent="0.2">
      <c r="A53" s="191"/>
      <c r="B53" s="284">
        <v>13</v>
      </c>
      <c r="C53" s="280" t="s">
        <v>46</v>
      </c>
      <c r="D53" s="279"/>
      <c r="E53" s="290" t="s">
        <v>154</v>
      </c>
      <c r="F53" s="296">
        <f>'Input data'!$C$49</f>
        <v>0.75</v>
      </c>
      <c r="G53" s="191"/>
      <c r="H53" s="191"/>
      <c r="I53" s="191"/>
      <c r="J53" s="191"/>
      <c r="K53" s="191"/>
      <c r="L53" s="191"/>
      <c r="M53" s="191"/>
      <c r="N53" s="191"/>
      <c r="O53" s="191"/>
      <c r="P53" s="191"/>
      <c r="Q53" s="191"/>
      <c r="R53" s="191"/>
      <c r="S53" s="191"/>
      <c r="T53" s="191"/>
      <c r="U53" s="191"/>
      <c r="V53" s="191"/>
      <c r="W53" s="191"/>
      <c r="X53" s="191"/>
      <c r="Y53" s="191"/>
    </row>
    <row r="54" spans="1:25" x14ac:dyDescent="0.2">
      <c r="A54" s="191"/>
      <c r="B54" s="278"/>
      <c r="C54" s="299"/>
      <c r="D54" s="299"/>
      <c r="E54" s="299"/>
      <c r="F54" s="299"/>
      <c r="G54" s="299"/>
      <c r="H54" s="299"/>
      <c r="I54" s="299"/>
      <c r="J54" s="299"/>
      <c r="K54" s="191"/>
      <c r="L54" s="191"/>
      <c r="M54" s="191"/>
      <c r="N54" s="191"/>
      <c r="O54" s="191"/>
      <c r="P54" s="191"/>
      <c r="Q54" s="191"/>
      <c r="R54" s="191"/>
      <c r="S54" s="191"/>
      <c r="T54" s="191"/>
      <c r="U54" s="191"/>
      <c r="V54" s="191"/>
      <c r="W54" s="191"/>
      <c r="X54" s="191"/>
      <c r="Y54" s="191"/>
    </row>
    <row r="55" spans="1:25" x14ac:dyDescent="0.2">
      <c r="A55" s="191"/>
      <c r="B55" s="300"/>
      <c r="C55" s="282" t="s">
        <v>166</v>
      </c>
      <c r="D55" s="283"/>
      <c r="E55" s="283"/>
      <c r="F55" s="283"/>
      <c r="G55" s="299"/>
      <c r="H55" s="299"/>
      <c r="I55" s="299"/>
      <c r="J55" s="299"/>
      <c r="K55" s="191"/>
      <c r="L55" s="191"/>
      <c r="M55" s="191"/>
      <c r="N55" s="191"/>
      <c r="O55" s="191"/>
      <c r="P55" s="191"/>
      <c r="Q55" s="191"/>
      <c r="R55" s="191"/>
      <c r="S55" s="191"/>
      <c r="T55" s="191"/>
      <c r="U55" s="191"/>
      <c r="V55" s="191"/>
      <c r="W55" s="191"/>
      <c r="X55" s="191"/>
      <c r="Y55" s="191"/>
    </row>
    <row r="56" spans="1:25" x14ac:dyDescent="0.2">
      <c r="A56" s="191"/>
      <c r="B56" s="278"/>
      <c r="C56" s="299"/>
      <c r="D56" s="299"/>
      <c r="E56" s="299"/>
      <c r="F56" s="299"/>
      <c r="G56" s="299"/>
      <c r="H56" s="299"/>
      <c r="I56" s="299"/>
      <c r="J56" s="299"/>
      <c r="K56" s="191"/>
      <c r="L56" s="191"/>
      <c r="M56" s="191"/>
      <c r="N56" s="191"/>
      <c r="O56" s="191"/>
      <c r="P56" s="191"/>
      <c r="Q56" s="191"/>
      <c r="R56" s="191"/>
      <c r="S56" s="191"/>
      <c r="T56" s="191"/>
      <c r="U56" s="191"/>
      <c r="V56" s="191"/>
      <c r="W56" s="191"/>
      <c r="X56" s="191"/>
      <c r="Y56" s="191"/>
    </row>
    <row r="57" spans="1:25" x14ac:dyDescent="0.2">
      <c r="A57" s="191"/>
      <c r="B57" s="284"/>
      <c r="C57" s="282"/>
      <c r="D57" s="282"/>
      <c r="E57" s="287"/>
      <c r="F57" s="287">
        <f>'Input data'!$C$5-1</f>
        <v>2023</v>
      </c>
      <c r="G57" s="287">
        <f>F57+1</f>
        <v>2024</v>
      </c>
      <c r="H57" s="287">
        <f t="shared" ref="H57:X57" si="2">G57+1</f>
        <v>2025</v>
      </c>
      <c r="I57" s="287">
        <f t="shared" si="2"/>
        <v>2026</v>
      </c>
      <c r="J57" s="287">
        <f t="shared" si="2"/>
        <v>2027</v>
      </c>
      <c r="K57" s="287">
        <f t="shared" si="2"/>
        <v>2028</v>
      </c>
      <c r="L57" s="287">
        <f t="shared" si="2"/>
        <v>2029</v>
      </c>
      <c r="M57" s="287">
        <f t="shared" si="2"/>
        <v>2030</v>
      </c>
      <c r="N57" s="287">
        <f t="shared" si="2"/>
        <v>2031</v>
      </c>
      <c r="O57" s="287">
        <f t="shared" si="2"/>
        <v>2032</v>
      </c>
      <c r="P57" s="287">
        <f t="shared" si="2"/>
        <v>2033</v>
      </c>
      <c r="Q57" s="287">
        <f t="shared" si="2"/>
        <v>2034</v>
      </c>
      <c r="R57" s="287">
        <f t="shared" si="2"/>
        <v>2035</v>
      </c>
      <c r="S57" s="287">
        <f t="shared" si="2"/>
        <v>2036</v>
      </c>
      <c r="T57" s="287">
        <f t="shared" si="2"/>
        <v>2037</v>
      </c>
      <c r="U57" s="287">
        <f t="shared" si="2"/>
        <v>2038</v>
      </c>
      <c r="V57" s="287">
        <f t="shared" si="2"/>
        <v>2039</v>
      </c>
      <c r="W57" s="287">
        <f t="shared" si="2"/>
        <v>2040</v>
      </c>
      <c r="X57" s="287">
        <f t="shared" si="2"/>
        <v>2041</v>
      </c>
      <c r="Y57" s="191"/>
    </row>
    <row r="58" spans="1:25" x14ac:dyDescent="0.2">
      <c r="A58" s="191"/>
      <c r="B58" s="284">
        <v>1</v>
      </c>
      <c r="C58" s="288" t="s">
        <v>147</v>
      </c>
      <c r="D58" s="289">
        <v>90</v>
      </c>
      <c r="E58" s="290" t="s">
        <v>148</v>
      </c>
      <c r="F58" s="277">
        <f ca="1">INDEX(OFFSET('Adjustment scenario'!$D$1:$W$1,$D58-1,0),MATCH(F$4,'Adjustment scenario'!$D$10:$W$10,0))</f>
        <v>37.344895037084065</v>
      </c>
      <c r="G58" s="277">
        <f ca="1">INDEX(OFFSET('Adjustment scenario'!$D$1:$W$1,$D58-1,0),MATCH(G$4,'Adjustment scenario'!$D$10:$W$10,0))</f>
        <v>38.25865969882279</v>
      </c>
      <c r="H58" s="277">
        <f ca="1">INDEX(OFFSET('Adjustment scenario'!$D$1:$W$1,$D58-1,0),MATCH(H$4,'Adjustment scenario'!$D$10:$W$10,0))</f>
        <v>40.74877946072607</v>
      </c>
      <c r="I58" s="277">
        <f ca="1">INDEX(OFFSET('Adjustment scenario'!$D$1:$W$1,$D58-1,0),MATCH(I$4,'Adjustment scenario'!$D$10:$W$10,0))</f>
        <v>43.648668912354282</v>
      </c>
      <c r="J58" s="277">
        <f ca="1">INDEX(OFFSET('Adjustment scenario'!$D$1:$W$1,$D58-1,0),MATCH(J$4,'Adjustment scenario'!$D$10:$W$10,0))</f>
        <v>43.220346968472079</v>
      </c>
      <c r="K58" s="277">
        <f ca="1">INDEX(OFFSET('Adjustment scenario'!$D$1:$W$1,$D58-1,0),MATCH(K$4,'Adjustment scenario'!$D$10:$W$10,0))</f>
        <v>42.742241902433307</v>
      </c>
      <c r="L58" s="277">
        <f ca="1">INDEX(OFFSET('Adjustment scenario'!$D$1:$W$1,$D58-1,0),MATCH(L$4,'Adjustment scenario'!$D$10:$W$10,0))</f>
        <v>42.335642472219149</v>
      </c>
      <c r="M58" s="277">
        <f ca="1">INDEX(OFFSET('Adjustment scenario'!$D$1:$W$1,$D58-1,0),MATCH(M$4,'Adjustment scenario'!$D$10:$W$10,0))</f>
        <v>42.060487915245872</v>
      </c>
      <c r="N58" s="277">
        <f ca="1">INDEX(OFFSET('Adjustment scenario'!$D$1:$W$1,$D58-1,0),MATCH(N$4,'Adjustment scenario'!$D$10:$W$10,0))</f>
        <v>41.901081795148507</v>
      </c>
      <c r="O58" s="277">
        <f ca="1">INDEX(OFFSET('Adjustment scenario'!$D$1:$W$1,$D58-1,0),MATCH(O$4,'Adjustment scenario'!$D$10:$W$10,0))</f>
        <v>42.102626706619006</v>
      </c>
      <c r="P58" s="277">
        <f ca="1">INDEX(OFFSET('Adjustment scenario'!$D$1:$W$1,$D58-1,0),MATCH(P$4,'Adjustment scenario'!$D$10:$W$10,0))</f>
        <v>42.518341842453516</v>
      </c>
      <c r="Q58" s="277">
        <f ca="1">INDEX(OFFSET('Adjustment scenario'!$D$1:$W$1,$D58-1,0),MATCH(Q$4,'Adjustment scenario'!$D$10:$W$10,0))</f>
        <v>43.099861758809325</v>
      </c>
      <c r="R58" s="277">
        <f ca="1">INDEX(OFFSET('Adjustment scenario'!$D$1:$W$1,$D58-1,0),MATCH(R$4,'Adjustment scenario'!$D$10:$W$10,0))</f>
        <v>43.906427392589912</v>
      </c>
      <c r="S58" s="277">
        <f ca="1">INDEX(OFFSET('Adjustment scenario'!$D$1:$W$1,$D58-1,0),MATCH(S$4,'Adjustment scenario'!$D$10:$W$10,0))</f>
        <v>44.914602509297936</v>
      </c>
      <c r="T58" s="277">
        <f ca="1">INDEX(OFFSET('Adjustment scenario'!$D$1:$W$1,$D58-1,0),MATCH(T$4,'Adjustment scenario'!$D$10:$W$10,0))</f>
        <v>46.083537968625073</v>
      </c>
      <c r="U58" s="277">
        <f ca="1">INDEX(OFFSET('Adjustment scenario'!$D$1:$W$1,$D58-1,0),MATCH(U$4,'Adjustment scenario'!$D$10:$W$10,0))</f>
        <v>47.418746060084615</v>
      </c>
      <c r="V58" s="277">
        <f ca="1">INDEX(OFFSET('Adjustment scenario'!$D$1:$W$1,$D58-1,0),MATCH(V$4,'Adjustment scenario'!$D$10:$W$10,0))</f>
        <v>48.926936161571305</v>
      </c>
      <c r="W58" s="277">
        <f ca="1">INDEX(OFFSET('Adjustment scenario'!$D$1:$W$1,$D58-1,0),MATCH(W$4,'Adjustment scenario'!$D$10:$W$10,0))</f>
        <v>50.602820349699115</v>
      </c>
      <c r="X58" s="277">
        <f ca="1">INDEX(OFFSET('Adjustment scenario'!$D$1:$W$1,$D58-1,0),MATCH(X$4,'Adjustment scenario'!$D$10:$W$10,0))</f>
        <v>52.44486296323754</v>
      </c>
      <c r="Y58" s="191"/>
    </row>
    <row r="59" spans="1:25" x14ac:dyDescent="0.2">
      <c r="A59" s="191"/>
      <c r="B59" s="284">
        <f>B58+1</f>
        <v>2</v>
      </c>
      <c r="C59" s="291" t="s">
        <v>97</v>
      </c>
      <c r="D59" s="289">
        <v>92</v>
      </c>
      <c r="E59" s="290" t="s">
        <v>148</v>
      </c>
      <c r="F59" s="277">
        <f ca="1">INDEX(OFFSET('Adjustment scenario'!$D$1:$W$1,$D59-1,0),MATCH(F$4,'Adjustment scenario'!$D$10:$W$10,0))</f>
        <v>2.3390136891588988</v>
      </c>
      <c r="G59" s="277">
        <f ca="1">INDEX(OFFSET('Adjustment scenario'!$D$1:$W$1,$D59-1,0),MATCH(G$4,'Adjustment scenario'!$D$10:$W$10,0))</f>
        <v>3.5725505459972733</v>
      </c>
      <c r="H59" s="277">
        <f ca="1">INDEX(OFFSET('Adjustment scenario'!$D$1:$W$1,$D59-1,0),MATCH(H$4,'Adjustment scenario'!$D$10:$W$10,0))</f>
        <v>3.5947303883005857</v>
      </c>
      <c r="I59" s="277">
        <f ca="1">INDEX(OFFSET('Adjustment scenario'!$D$1:$W$1,$D59-1,0),MATCH(I$4,'Adjustment scenario'!$D$10:$W$10,0))</f>
        <v>3.8104061173500785</v>
      </c>
      <c r="J59" s="277">
        <f ca="1">INDEX(OFFSET('Adjustment scenario'!$D$1:$W$1,$D59-1,0),MATCH(J$4,'Adjustment scenario'!$D$10:$W$10,0))</f>
        <v>4.0235456318238407</v>
      </c>
      <c r="K59" s="277">
        <f ca="1">INDEX(OFFSET('Adjustment scenario'!$D$1:$W$1,$D59-1,0),MATCH(K$4,'Adjustment scenario'!$D$10:$W$10,0))</f>
        <v>3.9388141610844798</v>
      </c>
      <c r="L59" s="277">
        <f ca="1">INDEX(OFFSET('Adjustment scenario'!$D$1:$W$1,$D59-1,0),MATCH(L$4,'Adjustment scenario'!$D$10:$W$10,0))</f>
        <v>3.8313348834361203</v>
      </c>
      <c r="M59" s="277">
        <f ca="1">INDEX(OFFSET('Adjustment scenario'!$D$1:$W$1,$D59-1,0),MATCH(M$4,'Adjustment scenario'!$D$10:$W$10,0))</f>
        <v>3.7364698970559931</v>
      </c>
      <c r="N59" s="277">
        <f ca="1">INDEX(OFFSET('Adjustment scenario'!$D$1:$W$1,$D59-1,0),MATCH(N$4,'Adjustment scenario'!$D$10:$W$10,0))</f>
        <v>3.6520289688780787</v>
      </c>
      <c r="O59" s="277">
        <f ca="1">INDEX(OFFSET('Adjustment scenario'!$D$1:$W$1,$D59-1,0),MATCH(O$4,'Adjustment scenario'!$D$10:$W$10,0))</f>
        <v>3.5887236282472146</v>
      </c>
      <c r="P59" s="277">
        <f ca="1">INDEX(OFFSET('Adjustment scenario'!$D$1:$W$1,$D59-1,0),MATCH(P$4,'Adjustment scenario'!$D$10:$W$10,0))</f>
        <v>3.5436810284457594</v>
      </c>
      <c r="Q59" s="277">
        <f ca="1">INDEX(OFFSET('Adjustment scenario'!$D$1:$W$1,$D59-1,0),MATCH(Q$4,'Adjustment scenario'!$D$10:$W$10,0))</f>
        <v>3.5138938171336611</v>
      </c>
      <c r="R59" s="277">
        <f ca="1">INDEX(OFFSET('Adjustment scenario'!$D$1:$W$1,$D59-1,0),MATCH(R$4,'Adjustment scenario'!$D$10:$W$10,0))</f>
        <v>3.5642677465571011</v>
      </c>
      <c r="S59" s="277">
        <f ca="1">INDEX(OFFSET('Adjustment scenario'!$D$1:$W$1,$D59-1,0),MATCH(S$4,'Adjustment scenario'!$D$10:$W$10,0))</f>
        <v>3.6333231965163275</v>
      </c>
      <c r="T59" s="277">
        <f ca="1">INDEX(OFFSET('Adjustment scenario'!$D$1:$W$1,$D59-1,0),MATCH(T$4,'Adjustment scenario'!$D$10:$W$10,0))</f>
        <v>3.7191625154399848</v>
      </c>
      <c r="U59" s="277">
        <f ca="1">INDEX(OFFSET('Adjustment scenario'!$D$1:$W$1,$D59-1,0),MATCH(U$4,'Adjustment scenario'!$D$10:$W$10,0))</f>
        <v>3.819299222854732</v>
      </c>
      <c r="V59" s="277">
        <f ca="1">INDEX(OFFSET('Adjustment scenario'!$D$1:$W$1,$D59-1,0),MATCH(V$4,'Adjustment scenario'!$D$10:$W$10,0))</f>
        <v>3.9339400552924317</v>
      </c>
      <c r="W59" s="277">
        <f ca="1">INDEX(OFFSET('Adjustment scenario'!$D$1:$W$1,$D59-1,0),MATCH(W$4,'Adjustment scenario'!$D$10:$W$10,0))</f>
        <v>4.0638919257382087</v>
      </c>
      <c r="X59" s="277">
        <f ca="1">INDEX(OFFSET('Adjustment scenario'!$D$1:$W$1,$D59-1,0),MATCH(X$4,'Adjustment scenario'!$D$10:$W$10,0))</f>
        <v>4.2064795221457025</v>
      </c>
      <c r="Y59" s="191"/>
    </row>
    <row r="60" spans="1:25" x14ac:dyDescent="0.2">
      <c r="A60" s="191"/>
      <c r="B60" s="284">
        <f t="shared" ref="B60:B62" si="3">B59+1</f>
        <v>3</v>
      </c>
      <c r="C60" s="291" t="s">
        <v>98</v>
      </c>
      <c r="D60" s="289">
        <v>93</v>
      </c>
      <c r="E60" s="290" t="s">
        <v>148</v>
      </c>
      <c r="F60" s="277">
        <f ca="1">INDEX(OFFSET('Adjustment scenario'!$D$1:$W$1,$D60-1,0),MATCH(F$4,'Adjustment scenario'!$D$10:$W$10,0))</f>
        <v>0</v>
      </c>
      <c r="G60" s="277">
        <f ca="1">INDEX(OFFSET('Adjustment scenario'!$D$1:$W$1,$D60-1,0),MATCH(G$4,'Adjustment scenario'!$D$10:$W$10,0))</f>
        <v>0</v>
      </c>
      <c r="H60" s="277">
        <f ca="1">INDEX(OFFSET('Adjustment scenario'!$D$1:$W$1,$D60-1,0),MATCH(H$4,'Adjustment scenario'!$D$10:$W$10,0))</f>
        <v>7.9571947490387155E-3</v>
      </c>
      <c r="I60" s="277">
        <f ca="1">INDEX(OFFSET('Adjustment scenario'!$D$1:$W$1,$D60-1,0),MATCH(I$4,'Adjustment scenario'!$D$10:$W$10,0))</f>
        <v>2.0269555171028283E-2</v>
      </c>
      <c r="J60" s="277">
        <f ca="1">INDEX(OFFSET('Adjustment scenario'!$D$1:$W$1,$D60-1,0),MATCH(J$4,'Adjustment scenario'!$D$10:$W$10,0))</f>
        <v>3.2408168163107098E-2</v>
      </c>
      <c r="K60" s="277">
        <f ca="1">INDEX(OFFSET('Adjustment scenario'!$D$1:$W$1,$D60-1,0),MATCH(K$4,'Adjustment scenario'!$D$10:$W$10,0))</f>
        <v>3.5352013194648139E-2</v>
      </c>
      <c r="L60" s="277">
        <f ca="1">INDEX(OFFSET('Adjustment scenario'!$D$1:$W$1,$D60-1,0),MATCH(L$4,'Adjustment scenario'!$D$10:$W$10,0))</f>
        <v>3.7465223631265275E-2</v>
      </c>
      <c r="M60" s="277">
        <f ca="1">INDEX(OFFSET('Adjustment scenario'!$D$1:$W$1,$D60-1,0),MATCH(M$4,'Adjustment scenario'!$D$10:$W$10,0))</f>
        <v>3.9707675014706414E-2</v>
      </c>
      <c r="N60" s="277">
        <f ca="1">INDEX(OFFSET('Adjustment scenario'!$D$1:$W$1,$D60-1,0),MATCH(N$4,'Adjustment scenario'!$D$10:$W$10,0))</f>
        <v>4.2082582433422958E-2</v>
      </c>
      <c r="O60" s="277">
        <f ca="1">INDEX(OFFSET('Adjustment scenario'!$D$1:$W$1,$D60-1,0),MATCH(O$4,'Adjustment scenario'!$D$10:$W$10,0))</f>
        <v>4.4751268802134217E-2</v>
      </c>
      <c r="P60" s="277">
        <f ca="1">INDEX(OFFSET('Adjustment scenario'!$D$1:$W$1,$D60-1,0),MATCH(P$4,'Adjustment scenario'!$D$10:$W$10,0))</f>
        <v>4.79166427684279E-2</v>
      </c>
      <c r="Q60" s="277">
        <f ca="1">INDEX(OFFSET('Adjustment scenario'!$D$1:$W$1,$D60-1,0),MATCH(Q$4,'Adjustment scenario'!$D$10:$W$10,0))</f>
        <v>5.1547731323817625E-2</v>
      </c>
      <c r="R60" s="277">
        <f ca="1">INDEX(OFFSET('Adjustment scenario'!$D$1:$W$1,$D60-1,0),MATCH(R$4,'Adjustment scenario'!$D$10:$W$10,0))</f>
        <v>5.5649437405563502E-2</v>
      </c>
      <c r="S60" s="277">
        <f ca="1">INDEX(OFFSET('Adjustment scenario'!$D$1:$W$1,$D60-1,0),MATCH(S$4,'Adjustment scenario'!$D$10:$W$10,0))</f>
        <v>6.0231865184324045E-2</v>
      </c>
      <c r="T60" s="277">
        <f ca="1">INDEX(OFFSET('Adjustment scenario'!$D$1:$W$1,$D60-1,0),MATCH(T$4,'Adjustment scenario'!$D$10:$W$10,0))</f>
        <v>6.5240708860244662E-2</v>
      </c>
      <c r="U60" s="277">
        <f ca="1">INDEX(OFFSET('Adjustment scenario'!$D$1:$W$1,$D60-1,0),MATCH(U$4,'Adjustment scenario'!$D$10:$W$10,0))</f>
        <v>7.0589184810735159E-2</v>
      </c>
      <c r="V60" s="277">
        <f ca="1">INDEX(OFFSET('Adjustment scenario'!$D$1:$W$1,$D60-1,0),MATCH(V$4,'Adjustment scenario'!$D$10:$W$10,0))</f>
        <v>7.6285458288883751E-2</v>
      </c>
      <c r="W60" s="277">
        <f ca="1">INDEX(OFFSET('Adjustment scenario'!$D$1:$W$1,$D60-1,0),MATCH(W$4,'Adjustment scenario'!$D$10:$W$10,0))</f>
        <v>8.2355799368886207E-2</v>
      </c>
      <c r="X60" s="277">
        <f ca="1">INDEX(OFFSET('Adjustment scenario'!$D$1:$W$1,$D60-1,0),MATCH(X$4,'Adjustment scenario'!$D$10:$W$10,0))</f>
        <v>8.874009903088971E-2</v>
      </c>
      <c r="Y60" s="191"/>
    </row>
    <row r="61" spans="1:25" x14ac:dyDescent="0.2">
      <c r="A61" s="191"/>
      <c r="B61" s="284">
        <f t="shared" si="3"/>
        <v>4</v>
      </c>
      <c r="C61" s="291" t="s">
        <v>99</v>
      </c>
      <c r="D61" s="289">
        <v>94</v>
      </c>
      <c r="E61" s="290" t="s">
        <v>148</v>
      </c>
      <c r="F61" s="277">
        <f ca="1">INDEX(OFFSET('Adjustment scenario'!$D$1:$W$1,$D61-1,0),MATCH(F$4,'Adjustment scenario'!$D$10:$W$10,0))</f>
        <v>2.5551166604400901</v>
      </c>
      <c r="G61" s="277">
        <f ca="1">INDEX(OFFSET('Adjustment scenario'!$D$1:$W$1,$D61-1,0),MATCH(G$4,'Adjustment scenario'!$D$10:$W$10,0))</f>
        <v>2.9728787655758793</v>
      </c>
      <c r="H61" s="277">
        <f ca="1">INDEX(OFFSET('Adjustment scenario'!$D$1:$W$1,$D61-1,0),MATCH(H$4,'Adjustment scenario'!$D$10:$W$10,0))</f>
        <v>4.690105960965262</v>
      </c>
      <c r="I61" s="277">
        <f ca="1">INDEX(OFFSET('Adjustment scenario'!$D$1:$W$1,$D61-1,0),MATCH(I$4,'Adjustment scenario'!$D$10:$W$10,0))</f>
        <v>4.8238851587421454</v>
      </c>
      <c r="J61" s="277">
        <f ca="1">INDEX(OFFSET('Adjustment scenario'!$D$1:$W$1,$D61-1,0),MATCH(J$4,'Adjustment scenario'!$D$10:$W$10,0))</f>
        <v>1.5788756162788717</v>
      </c>
      <c r="K61" s="277">
        <f ca="1">INDEX(OFFSET('Adjustment scenario'!$D$1:$W$1,$D61-1,0),MATCH(K$4,'Adjustment scenario'!$D$10:$W$10,0))</f>
        <v>1.3241615704931566</v>
      </c>
      <c r="L61" s="277">
        <f ca="1">INDEX(OFFSET('Adjustment scenario'!$D$1:$W$1,$D61-1,0),MATCH(L$4,'Adjustment scenario'!$D$10:$W$10,0))</f>
        <v>1.3910489544499254</v>
      </c>
      <c r="M61" s="277">
        <f ca="1">INDEX(OFFSET('Adjustment scenario'!$D$1:$W$1,$D61-1,0),MATCH(M$4,'Adjustment scenario'!$D$10:$W$10,0))</f>
        <v>1.4680323202749523</v>
      </c>
      <c r="N61" s="277">
        <f ca="1">INDEX(OFFSET('Adjustment scenario'!$D$1:$W$1,$D61-1,0),MATCH(N$4,'Adjustment scenario'!$D$10:$W$10,0))</f>
        <v>1.5574732609851714</v>
      </c>
      <c r="O61" s="277">
        <f ca="1">INDEX(OFFSET('Adjustment scenario'!$D$1:$W$1,$D61-1,0),MATCH(O$4,'Adjustment scenario'!$D$10:$W$10,0))</f>
        <v>1.7785862116626783</v>
      </c>
      <c r="P61" s="277">
        <f ca="1">INDEX(OFFSET('Adjustment scenario'!$D$1:$W$1,$D61-1,0),MATCH(P$4,'Adjustment scenario'!$D$10:$W$10,0))</f>
        <v>2.0056393840335405</v>
      </c>
      <c r="Q61" s="277">
        <f ca="1">INDEX(OFFSET('Adjustment scenario'!$D$1:$W$1,$D61-1,0),MATCH(Q$4,'Adjustment scenario'!$D$10:$W$10,0))</f>
        <v>2.214301437175815</v>
      </c>
      <c r="R61" s="277">
        <f ca="1">INDEX(OFFSET('Adjustment scenario'!$D$1:$W$1,$D61-1,0),MATCH(R$4,'Adjustment scenario'!$D$10:$W$10,0))</f>
        <v>2.4308584676402436</v>
      </c>
      <c r="S61" s="277">
        <f ca="1">INDEX(OFFSET('Adjustment scenario'!$D$1:$W$1,$D61-1,0),MATCH(S$4,'Adjustment scenario'!$D$10:$W$10,0))</f>
        <v>2.6315299208446392</v>
      </c>
      <c r="T61" s="277">
        <f ca="1">INDEX(OFFSET('Adjustment scenario'!$D$1:$W$1,$D61-1,0),MATCH(T$4,'Adjustment scenario'!$D$10:$W$10,0))</f>
        <v>2.7976227681949641</v>
      </c>
      <c r="U61" s="277">
        <f ca="1">INDEX(OFFSET('Adjustment scenario'!$D$1:$W$1,$D61-1,0),MATCH(U$4,'Adjustment scenario'!$D$10:$W$10,0))</f>
        <v>2.9635286457206491</v>
      </c>
      <c r="V61" s="277">
        <f ca="1">INDEX(OFFSET('Adjustment scenario'!$D$1:$W$1,$D61-1,0),MATCH(V$4,'Adjustment scenario'!$D$10:$W$10,0))</f>
        <v>3.1335345276062507</v>
      </c>
      <c r="W61" s="277">
        <f ca="1">INDEX(OFFSET('Adjustment scenario'!$D$1:$W$1,$D61-1,0),MATCH(W$4,'Adjustment scenario'!$D$10:$W$10,0))</f>
        <v>3.29299236108749</v>
      </c>
      <c r="X61" s="277">
        <f ca="1">INDEX(OFFSET('Adjustment scenario'!$D$1:$W$1,$D61-1,0),MATCH(X$4,'Adjustment scenario'!$D$10:$W$10,0))</f>
        <v>3.4714270058474095</v>
      </c>
      <c r="Y61" s="191"/>
    </row>
    <row r="62" spans="1:25" x14ac:dyDescent="0.2">
      <c r="A62" s="191"/>
      <c r="B62" s="284">
        <f t="shared" si="3"/>
        <v>5</v>
      </c>
      <c r="C62" s="291" t="s">
        <v>100</v>
      </c>
      <c r="D62" s="289">
        <v>95</v>
      </c>
      <c r="E62" s="290" t="s">
        <v>148</v>
      </c>
      <c r="F62" s="277">
        <f ca="1">INDEX(OFFSET('Adjustment scenario'!$D$1:$W$1,$D62-1,0),MATCH(F$4,'Adjustment scenario'!$D$10:$W$10,0))</f>
        <v>0</v>
      </c>
      <c r="G62" s="277">
        <f ca="1">INDEX(OFFSET('Adjustment scenario'!$D$1:$W$1,$D62-1,0),MATCH(G$4,'Adjustment scenario'!$D$10:$W$10,0))</f>
        <v>8.4457943458021312E-3</v>
      </c>
      <c r="H62" s="277">
        <f ca="1">INDEX(OFFSET('Adjustment scenario'!$D$1:$W$1,$D62-1,0),MATCH(H$4,'Adjustment scenario'!$D$10:$W$10,0))</f>
        <v>1.3324347721478669E-2</v>
      </c>
      <c r="I62" s="277">
        <f ca="1">INDEX(OFFSET('Adjustment scenario'!$D$1:$W$1,$D62-1,0),MATCH(I$4,'Adjustment scenario'!$D$10:$W$10,0))</f>
        <v>1.3704407482156827E-2</v>
      </c>
      <c r="J62" s="277">
        <f ca="1">INDEX(OFFSET('Adjustment scenario'!$D$1:$W$1,$D62-1,0),MATCH(J$4,'Adjustment scenario'!$D$10:$W$10,0))</f>
        <v>4.4855037168358407E-3</v>
      </c>
      <c r="K62" s="277">
        <f ca="1">INDEX(OFFSET('Adjustment scenario'!$D$1:$W$1,$D62-1,0),MATCH(K$4,'Adjustment scenario'!$D$10:$W$10,0))</f>
        <v>3.7618743268305419E-3</v>
      </c>
      <c r="L62" s="277">
        <f ca="1">INDEX(OFFSET('Adjustment scenario'!$D$1:$W$1,$D62-1,0),MATCH(L$4,'Adjustment scenario'!$D$10:$W$10,0))</f>
        <v>3.9518979146636445E-3</v>
      </c>
      <c r="M62" s="277">
        <f ca="1">INDEX(OFFSET('Adjustment scenario'!$D$1:$W$1,$D62-1,0),MATCH(M$4,'Adjustment scenario'!$D$10:$W$10,0))</f>
        <v>4.1706036632244616E-3</v>
      </c>
      <c r="N62" s="277">
        <f ca="1">INDEX(OFFSET('Adjustment scenario'!$D$1:$W$1,$D62-1,0),MATCH(N$4,'Adjustment scenario'!$D$10:$W$10,0))</f>
        <v>4.4247007357592245E-3</v>
      </c>
      <c r="O62" s="277">
        <f ca="1">INDEX(OFFSET('Adjustment scenario'!$D$1:$W$1,$D62-1,0),MATCH(O$4,'Adjustment scenario'!$D$10:$W$10,0))</f>
        <v>5.0528711577219124E-3</v>
      </c>
      <c r="P62" s="277">
        <f ca="1">INDEX(OFFSET('Adjustment scenario'!$D$1:$W$1,$D62-1,0),MATCH(P$4,'Adjustment scenario'!$D$10:$W$10,0))</f>
        <v>5.6979174413482126E-3</v>
      </c>
      <c r="Q62" s="277">
        <f ca="1">INDEX(OFFSET('Adjustment scenario'!$D$1:$W$1,$D62-1,0),MATCH(Q$4,'Adjustment scenario'!$D$10:$W$10,0))</f>
        <v>6.2907155093417811E-3</v>
      </c>
      <c r="R62" s="277">
        <f ca="1">INDEX(OFFSET('Adjustment scenario'!$D$1:$W$1,$D62-1,0),MATCH(R$4,'Adjustment scenario'!$D$10:$W$10,0))</f>
        <v>6.90594279833144E-3</v>
      </c>
      <c r="S62" s="277">
        <f ca="1">INDEX(OFFSET('Adjustment scenario'!$D$1:$W$1,$D62-1,0),MATCH(S$4,'Adjustment scenario'!$D$10:$W$10,0))</f>
        <v>7.476039986438361E-3</v>
      </c>
      <c r="T62" s="277">
        <f ca="1">INDEX(OFFSET('Adjustment scenario'!$D$1:$W$1,$D62-1,0),MATCH(T$4,'Adjustment scenario'!$D$10:$W$10,0))</f>
        <v>7.9479011491850413E-3</v>
      </c>
      <c r="U62" s="277">
        <f ca="1">INDEX(OFFSET('Adjustment scenario'!$D$1:$W$1,$D62-1,0),MATCH(U$4,'Adjustment scenario'!$D$10:$W$10,0))</f>
        <v>8.4192311403595531E-3</v>
      </c>
      <c r="V62" s="277">
        <f ca="1">INDEX(OFFSET('Adjustment scenario'!$D$1:$W$1,$D62-1,0),MATCH(V$4,'Adjustment scenario'!$D$10:$W$10,0))</f>
        <v>8.9022090312202914E-3</v>
      </c>
      <c r="W62" s="277">
        <f ca="1">INDEX(OFFSET('Adjustment scenario'!$D$1:$W$1,$D62-1,0),MATCH(W$4,'Adjustment scenario'!$D$10:$W$10,0))</f>
        <v>9.355220463776584E-3</v>
      </c>
      <c r="X62" s="277">
        <f ca="1">INDEX(OFFSET('Adjustment scenario'!$D$1:$W$1,$D62-1,0),MATCH(X$4,'Adjustment scenario'!$D$10:$W$10,0))</f>
        <v>9.8621440326953497E-3</v>
      </c>
      <c r="Y62" s="191"/>
    </row>
    <row r="63" spans="1:25" x14ac:dyDescent="0.2">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sheetData>
  <conditionalFormatting sqref="V4:X63">
    <cfRule type="expression" dxfId="3"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637D-C597-4E38-ADE0-4F52B1E42E7B}">
  <sheetPr codeName="Sheet26">
    <tabColor rgb="FF7030A0"/>
  </sheetPr>
  <dimension ref="A1:Y63"/>
  <sheetViews>
    <sheetView zoomScale="90" zoomScaleNormal="90" workbookViewId="0"/>
  </sheetViews>
  <sheetFormatPr defaultRowHeight="12.75" x14ac:dyDescent="0.2"/>
  <cols>
    <col min="1" max="1" width="9.140625" style="276"/>
    <col min="2" max="2" width="4.5703125" style="276" customWidth="1"/>
    <col min="3" max="3" width="67" style="276" customWidth="1"/>
    <col min="4" max="4" width="16.5703125" style="276" customWidth="1"/>
    <col min="5" max="5" width="13.7109375" style="276" customWidth="1"/>
    <col min="6" max="24" width="10.7109375" style="276" customWidth="1"/>
    <col min="25" max="16384" width="9.140625" style="276"/>
  </cols>
  <sheetData>
    <row r="1" spans="1:25" x14ac:dyDescent="0.2">
      <c r="A1" s="191"/>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x14ac:dyDescent="0.2">
      <c r="A2" s="191"/>
      <c r="B2" s="281"/>
      <c r="C2" s="282" t="s">
        <v>146</v>
      </c>
      <c r="D2" s="283"/>
      <c r="E2" s="283"/>
      <c r="F2" s="283"/>
      <c r="G2" s="299"/>
      <c r="H2" s="299"/>
      <c r="I2" s="299"/>
      <c r="J2" s="299"/>
      <c r="K2" s="191"/>
      <c r="L2" s="191"/>
      <c r="M2" s="191"/>
      <c r="N2" s="191"/>
      <c r="O2" s="191"/>
      <c r="P2" s="191"/>
      <c r="Q2" s="191"/>
      <c r="R2" s="191"/>
      <c r="S2" s="191"/>
      <c r="T2" s="191"/>
      <c r="U2" s="191"/>
      <c r="V2" s="191"/>
      <c r="W2" s="191"/>
      <c r="X2" s="191"/>
      <c r="Y2" s="191"/>
    </row>
    <row r="3" spans="1:25" x14ac:dyDescent="0.2">
      <c r="A3" s="191"/>
      <c r="B3" s="278"/>
      <c r="C3" s="299"/>
      <c r="D3" s="299"/>
      <c r="E3" s="299"/>
      <c r="F3" s="299"/>
      <c r="G3" s="299"/>
      <c r="H3" s="299"/>
      <c r="I3" s="299"/>
      <c r="J3" s="299"/>
      <c r="K3" s="191"/>
      <c r="L3" s="191"/>
      <c r="M3" s="191"/>
      <c r="N3" s="191"/>
      <c r="O3" s="191"/>
      <c r="P3" s="191"/>
      <c r="Q3" s="191"/>
      <c r="R3" s="191"/>
      <c r="S3" s="191"/>
      <c r="T3" s="191"/>
      <c r="U3" s="191"/>
      <c r="V3" s="191"/>
      <c r="W3" s="191"/>
      <c r="X3" s="191"/>
      <c r="Y3" s="191"/>
    </row>
    <row r="4" spans="1:25" x14ac:dyDescent="0.2">
      <c r="A4" s="191"/>
      <c r="B4" s="284"/>
      <c r="C4" s="282"/>
      <c r="D4" s="285" t="s">
        <v>167</v>
      </c>
      <c r="E4" s="286">
        <f>F4-1</f>
        <v>2022</v>
      </c>
      <c r="F4" s="287">
        <f>'Input data'!$C$5-1</f>
        <v>2023</v>
      </c>
      <c r="G4" s="287">
        <f>F4+1</f>
        <v>2024</v>
      </c>
      <c r="H4" s="287">
        <f t="shared" ref="H4:X4" si="0">G4+1</f>
        <v>2025</v>
      </c>
      <c r="I4" s="287">
        <f t="shared" si="0"/>
        <v>2026</v>
      </c>
      <c r="J4" s="287">
        <f t="shared" si="0"/>
        <v>2027</v>
      </c>
      <c r="K4" s="287">
        <f t="shared" si="0"/>
        <v>2028</v>
      </c>
      <c r="L4" s="287">
        <f t="shared" si="0"/>
        <v>2029</v>
      </c>
      <c r="M4" s="287">
        <f t="shared" si="0"/>
        <v>2030</v>
      </c>
      <c r="N4" s="287">
        <f t="shared" si="0"/>
        <v>2031</v>
      </c>
      <c r="O4" s="287">
        <f t="shared" si="0"/>
        <v>2032</v>
      </c>
      <c r="P4" s="287">
        <f t="shared" si="0"/>
        <v>2033</v>
      </c>
      <c r="Q4" s="287">
        <f t="shared" si="0"/>
        <v>2034</v>
      </c>
      <c r="R4" s="287">
        <f t="shared" si="0"/>
        <v>2035</v>
      </c>
      <c r="S4" s="287">
        <f t="shared" si="0"/>
        <v>2036</v>
      </c>
      <c r="T4" s="287">
        <f t="shared" si="0"/>
        <v>2037</v>
      </c>
      <c r="U4" s="287">
        <f t="shared" si="0"/>
        <v>2038</v>
      </c>
      <c r="V4" s="287">
        <f t="shared" si="0"/>
        <v>2039</v>
      </c>
      <c r="W4" s="287">
        <f t="shared" si="0"/>
        <v>2040</v>
      </c>
      <c r="X4" s="287">
        <f t="shared" si="0"/>
        <v>2041</v>
      </c>
      <c r="Y4" s="191"/>
    </row>
    <row r="5" spans="1:25" x14ac:dyDescent="0.2">
      <c r="A5" s="191"/>
      <c r="B5" s="284">
        <v>1</v>
      </c>
      <c r="C5" s="288" t="s">
        <v>147</v>
      </c>
      <c r="D5" s="289">
        <v>57</v>
      </c>
      <c r="E5" s="290" t="s">
        <v>148</v>
      </c>
      <c r="F5" s="277">
        <f ca="1">INDEX(OFFSET('Adjust. no safeguard'!$D$1:$W$1,$D5-1,0),MATCH(F$4,'Adjust. no safeguard'!$D$10:$W$10,0))</f>
        <v>37.344895037084065</v>
      </c>
      <c r="G5" s="277">
        <f ca="1">INDEX(OFFSET('Adjust. no safeguard'!$D$1:$W$1,$D5-1,0),MATCH(G$4,'Adjust. no safeguard'!$D$10:$W$10,0))</f>
        <v>38.25865969882279</v>
      </c>
      <c r="H5" s="277">
        <f ca="1">INDEX(OFFSET('Adjust. no safeguard'!$D$1:$W$1,$D5-1,0),MATCH(H$4,'Adjust. no safeguard'!$D$10:$W$10,0))</f>
        <v>40.74877946072607</v>
      </c>
      <c r="I5" s="277">
        <f ca="1">INDEX(OFFSET('Adjust. no safeguard'!$D$1:$W$1,$D5-1,0),MATCH(I$4,'Adjust. no safeguard'!$D$10:$W$10,0))</f>
        <v>43.648668912354275</v>
      </c>
      <c r="J5" s="277">
        <f ca="1">INDEX(OFFSET('Adjust. no safeguard'!$D$1:$W$1,$D5-1,0),MATCH(J$4,'Adjust. no safeguard'!$D$10:$W$10,0))</f>
        <v>43.220346968472072</v>
      </c>
      <c r="K5" s="277">
        <f ca="1">INDEX(OFFSET('Adjust. no safeguard'!$D$1:$W$1,$D5-1,0),MATCH(K$4,'Adjust. no safeguard'!$D$10:$W$10,0))</f>
        <v>42.742241902433307</v>
      </c>
      <c r="L5" s="277">
        <f ca="1">INDEX(OFFSET('Adjust. no safeguard'!$D$1:$W$1,$D5-1,0),MATCH(L$4,'Adjust. no safeguard'!$D$10:$W$10,0))</f>
        <v>42.335642472219156</v>
      </c>
      <c r="M5" s="277">
        <f ca="1">INDEX(OFFSET('Adjust. no safeguard'!$D$1:$W$1,$D5-1,0),MATCH(M$4,'Adjust. no safeguard'!$D$10:$W$10,0))</f>
        <v>42.060487915245872</v>
      </c>
      <c r="N5" s="277">
        <f ca="1">INDEX(OFFSET('Adjust. no safeguard'!$D$1:$W$1,$D5-1,0),MATCH(N$4,'Adjust. no safeguard'!$D$10:$W$10,0))</f>
        <v>41.901081795148514</v>
      </c>
      <c r="O5" s="277">
        <f ca="1">INDEX(OFFSET('Adjust. no safeguard'!$D$1:$W$1,$D5-1,0),MATCH(O$4,'Adjust. no safeguard'!$D$10:$W$10,0))</f>
        <v>42.10262670661902</v>
      </c>
      <c r="P5" s="277">
        <f ca="1">INDEX(OFFSET('Adjust. no safeguard'!$D$1:$W$1,$D5-1,0),MATCH(P$4,'Adjust. no safeguard'!$D$10:$W$10,0))</f>
        <v>42.518341842453523</v>
      </c>
      <c r="Q5" s="277">
        <f ca="1">INDEX(OFFSET('Adjust. no safeguard'!$D$1:$W$1,$D5-1,0),MATCH(Q$4,'Adjust. no safeguard'!$D$10:$W$10,0))</f>
        <v>43.099861758809325</v>
      </c>
      <c r="R5" s="277">
        <f ca="1">INDEX(OFFSET('Adjust. no safeguard'!$D$1:$W$1,$D5-1,0),MATCH(R$4,'Adjust. no safeguard'!$D$10:$W$10,0))</f>
        <v>43.906427392589912</v>
      </c>
      <c r="S5" s="277">
        <f ca="1">INDEX(OFFSET('Adjust. no safeguard'!$D$1:$W$1,$D5-1,0),MATCH(S$4,'Adjust. no safeguard'!$D$10:$W$10,0))</f>
        <v>44.914602509297943</v>
      </c>
      <c r="T5" s="277">
        <f ca="1">INDEX(OFFSET('Adjust. no safeguard'!$D$1:$W$1,$D5-1,0),MATCH(T$4,'Adjust. no safeguard'!$D$10:$W$10,0))</f>
        <v>46.083537968625073</v>
      </c>
      <c r="U5" s="277">
        <f ca="1">INDEX(OFFSET('Adjust. no safeguard'!$D$1:$W$1,$D5-1,0),MATCH(U$4,'Adjust. no safeguard'!$D$10:$W$10,0))</f>
        <v>47.418746060084608</v>
      </c>
      <c r="V5" s="277">
        <f ca="1">INDEX(OFFSET('Adjust. no safeguard'!$D$1:$W$1,$D5-1,0),MATCH(V$4,'Adjust. no safeguard'!$D$10:$W$10,0))</f>
        <v>48.926936161571298</v>
      </c>
      <c r="W5" s="277">
        <f ca="1">INDEX(OFFSET('Adjust. no safeguard'!$D$1:$W$1,$D5-1,0),MATCH(W$4,'Adjust. no safeguard'!$D$10:$W$10,0))</f>
        <v>50.602820349699115</v>
      </c>
      <c r="X5" s="277">
        <f ca="1">INDEX(OFFSET('Adjust. no safeguard'!$D$1:$W$1,$D5-1,0),MATCH(X$4,'Adjust. no safeguard'!$D$10:$W$10,0))</f>
        <v>52.444862963237547</v>
      </c>
      <c r="Y5" s="191"/>
    </row>
    <row r="6" spans="1:25" x14ac:dyDescent="0.2">
      <c r="A6" s="191"/>
      <c r="B6" s="284">
        <v>2</v>
      </c>
      <c r="C6" s="288" t="s">
        <v>149</v>
      </c>
      <c r="D6" s="289">
        <v>77</v>
      </c>
      <c r="E6" s="290" t="s">
        <v>148</v>
      </c>
      <c r="F6" s="277">
        <f ca="1">INDEX(OFFSET('Adjust. no safeguard'!$D$1:$W$1,$D6-1,0),MATCH(F$4,'Adjust. no safeguard'!$D$10:$W$10,0))</f>
        <v>-0.69003439322329896</v>
      </c>
      <c r="G6" s="277">
        <f ca="1">INDEX(OFFSET('Adjust. no safeguard'!$D$1:$W$1,$D6-1,0),MATCH(G$4,'Adjust. no safeguard'!$D$10:$W$10,0))</f>
        <v>-2.0349233950924699</v>
      </c>
      <c r="H6" s="277">
        <f ca="1">INDEX(OFFSET('Adjust. no safeguard'!$D$1:$W$1,$D6-1,0),MATCH(H$4,'Adjust. no safeguard'!$D$10:$W$10,0))</f>
        <v>-1.9859276110903874</v>
      </c>
      <c r="I6" s="277">
        <f ca="1">INDEX(OFFSET('Adjust. no safeguard'!$D$1:$W$1,$D6-1,0),MATCH(I$4,'Adjust. no safeguard'!$D$10:$W$10,0))</f>
        <v>-1.7645895662243023</v>
      </c>
      <c r="J6" s="277">
        <f ca="1">INDEX(OFFSET('Adjust. no safeguard'!$D$1:$W$1,$D6-1,0),MATCH(J$4,'Adjust. no safeguard'!$D$10:$W$10,0))</f>
        <v>-1.5833611199957041</v>
      </c>
      <c r="K6" s="277">
        <f ca="1">INDEX(OFFSET('Adjust. no safeguard'!$D$1:$W$1,$D6-1,0),MATCH(K$4,'Adjust. no safeguard'!$D$10:$W$10,0))</f>
        <v>-1.327923444819991</v>
      </c>
      <c r="L6" s="277">
        <f ca="1">INDEX(OFFSET('Adjust. no safeguard'!$D$1:$W$1,$D6-1,0),MATCH(L$4,'Adjust. no safeguard'!$D$10:$W$10,0))</f>
        <v>-1.3950008523646014</v>
      </c>
      <c r="M6" s="277">
        <f ca="1">INDEX(OFFSET('Adjust. no safeguard'!$D$1:$W$1,$D6-1,0),MATCH(M$4,'Adjust. no safeguard'!$D$10:$W$10,0))</f>
        <v>-1.4722029239381724</v>
      </c>
      <c r="N6" s="277">
        <f ca="1">INDEX(OFFSET('Adjust. no safeguard'!$D$1:$W$1,$D6-1,0),MATCH(N$4,'Adjust. no safeguard'!$D$10:$W$10,0))</f>
        <v>-1.5618979617209281</v>
      </c>
      <c r="O6" s="277">
        <f ca="1">INDEX(OFFSET('Adjust. no safeguard'!$D$1:$W$1,$D6-1,0),MATCH(O$4,'Adjust. no safeguard'!$D$10:$W$10,0))</f>
        <v>-1.783639082820403</v>
      </c>
      <c r="P6" s="277">
        <f ca="1">INDEX(OFFSET('Adjust. no safeguard'!$D$1:$W$1,$D6-1,0),MATCH(P$4,'Adjust. no safeguard'!$D$10:$W$10,0))</f>
        <v>-2.0113373014748914</v>
      </c>
      <c r="Q6" s="277">
        <f ca="1">INDEX(OFFSET('Adjust. no safeguard'!$D$1:$W$1,$D6-1,0),MATCH(Q$4,'Adjust. no safeguard'!$D$10:$W$10,0))</f>
        <v>-2.220592152685148</v>
      </c>
      <c r="R6" s="277">
        <f ca="1">INDEX(OFFSET('Adjust. no safeguard'!$D$1:$W$1,$D6-1,0),MATCH(R$4,'Adjust. no safeguard'!$D$10:$W$10,0))</f>
        <v>-2.4377644104385716</v>
      </c>
      <c r="S6" s="277">
        <f ca="1">INDEX(OFFSET('Adjust. no safeguard'!$D$1:$W$1,$D6-1,0),MATCH(S$4,'Adjust. no safeguard'!$D$10:$W$10,0))</f>
        <v>-2.6390059608310823</v>
      </c>
      <c r="T6" s="277">
        <f ca="1">INDEX(OFFSET('Adjust. no safeguard'!$D$1:$W$1,$D6-1,0),MATCH(T$4,'Adjust. no safeguard'!$D$10:$W$10,0))</f>
        <v>-2.8055706693441476</v>
      </c>
      <c r="U6" s="277">
        <f ca="1">INDEX(OFFSET('Adjust. no safeguard'!$D$1:$W$1,$D6-1,0),MATCH(U$4,'Adjust. no safeguard'!$D$10:$W$10,0))</f>
        <v>-2.971947876861003</v>
      </c>
      <c r="V6" s="277">
        <f ca="1">INDEX(OFFSET('Adjust. no safeguard'!$D$1:$W$1,$D6-1,0),MATCH(V$4,'Adjust. no safeguard'!$D$10:$W$10,0))</f>
        <v>-3.1424367366374781</v>
      </c>
      <c r="W6" s="277">
        <f ca="1">INDEX(OFFSET('Adjust. no safeguard'!$D$1:$W$1,$D6-1,0),MATCH(W$4,'Adjust. no safeguard'!$D$10:$W$10,0))</f>
        <v>-3.3023475815512708</v>
      </c>
      <c r="X6" s="277">
        <f ca="1">INDEX(OFFSET('Adjust. no safeguard'!$D$1:$W$1,$D6-1,0),MATCH(X$4,'Adjust. no safeguard'!$D$10:$W$10,0))</f>
        <v>-3.4812891498801033</v>
      </c>
      <c r="Y6" s="191"/>
    </row>
    <row r="7" spans="1:25" x14ac:dyDescent="0.2">
      <c r="A7" s="191"/>
      <c r="B7" s="284">
        <v>3</v>
      </c>
      <c r="C7" s="288" t="s">
        <v>18</v>
      </c>
      <c r="D7" s="289">
        <v>12</v>
      </c>
      <c r="E7" s="290" t="s">
        <v>150</v>
      </c>
      <c r="F7" s="277">
        <f ca="1">INDEX(OFFSET('Adjust. no safeguard'!$D$1:$W$1,$D7-1,0),MATCH(F$4,'Adjust. no safeguard'!$D$10:$W$10,0))</f>
        <v>0.7080978</v>
      </c>
      <c r="G7" s="277">
        <f ca="1">INDEX(OFFSET('Adjust. no safeguard'!$D$1:$W$1,$D7-1,0),MATCH(G$4,'Adjust. no safeguard'!$D$10:$W$10,0))</f>
        <v>-0.36979909999999999</v>
      </c>
      <c r="H7" s="277">
        <f ca="1">INDEX(OFFSET('Adjust. no safeguard'!$D$1:$W$1,$D7-1,0),MATCH(H$4,'Adjust. no safeguard'!$D$10:$W$10,0))</f>
        <v>-0.20979909999999996</v>
      </c>
      <c r="I7" s="277">
        <f ca="1">INDEX(OFFSET('Adjust. no safeguard'!$D$1:$W$1,$D7-1,0),MATCH(I$4,'Adjust. no safeguard'!$D$10:$W$10,0))</f>
        <v>-4.979909999999993E-2</v>
      </c>
      <c r="J7" s="277">
        <f ca="1">INDEX(OFFSET('Adjust. no safeguard'!$D$1:$W$1,$D7-1,0),MATCH(J$4,'Adjust. no safeguard'!$D$10:$W$10,0))</f>
        <v>0.1102009000000001</v>
      </c>
      <c r="K7" s="277">
        <f ca="1">INDEX(OFFSET('Adjust. no safeguard'!$D$1:$W$1,$D7-1,0),MATCH(K$4,'Adjust. no safeguard'!$D$10:$W$10,0))</f>
        <v>0.27020090000000013</v>
      </c>
      <c r="L7" s="277">
        <f ca="1">INDEX(OFFSET('Adjust. no safeguard'!$D$1:$W$1,$D7-1,0),MATCH(L$4,'Adjust. no safeguard'!$D$10:$W$10,0))</f>
        <v>0.27020090000000013</v>
      </c>
      <c r="M7" s="277">
        <f ca="1">INDEX(OFFSET('Adjust. no safeguard'!$D$1:$W$1,$D7-1,0),MATCH(M$4,'Adjust. no safeguard'!$D$10:$W$10,0))</f>
        <v>0.27020090000000013</v>
      </c>
      <c r="N7" s="277">
        <f ca="1">INDEX(OFFSET('Adjust. no safeguard'!$D$1:$W$1,$D7-1,0),MATCH(N$4,'Adjust. no safeguard'!$D$10:$W$10,0))</f>
        <v>0.27020090000000013</v>
      </c>
      <c r="O7" s="277">
        <f ca="1">INDEX(OFFSET('Adjust. no safeguard'!$D$1:$W$1,$D7-1,0),MATCH(O$4,'Adjust. no safeguard'!$D$10:$W$10,0))</f>
        <v>0.27020090000000013</v>
      </c>
      <c r="P7" s="277">
        <f ca="1">INDEX(OFFSET('Adjust. no safeguard'!$D$1:$W$1,$D7-1,0),MATCH(P$4,'Adjust. no safeguard'!$D$10:$W$10,0))</f>
        <v>0.27020090000000013</v>
      </c>
      <c r="Q7" s="277">
        <f ca="1">INDEX(OFFSET('Adjust. no safeguard'!$D$1:$W$1,$D7-1,0),MATCH(Q$4,'Adjust. no safeguard'!$D$10:$W$10,0))</f>
        <v>0.27020090000000013</v>
      </c>
      <c r="R7" s="277">
        <f ca="1">INDEX(OFFSET('Adjust. no safeguard'!$D$1:$W$1,$D7-1,0),MATCH(R$4,'Adjust. no safeguard'!$D$10:$W$10,0))</f>
        <v>0.27020090000000013</v>
      </c>
      <c r="S7" s="277">
        <f ca="1">INDEX(OFFSET('Adjust. no safeguard'!$D$1:$W$1,$D7-1,0),MATCH(S$4,'Adjust. no safeguard'!$D$10:$W$10,0))</f>
        <v>0.27020090000000013</v>
      </c>
      <c r="T7" s="277">
        <f ca="1">INDEX(OFFSET('Adjust. no safeguard'!$D$1:$W$1,$D7-1,0),MATCH(T$4,'Adjust. no safeguard'!$D$10:$W$10,0))</f>
        <v>0.27020090000000013</v>
      </c>
      <c r="U7" s="277">
        <f ca="1">INDEX(OFFSET('Adjust. no safeguard'!$D$1:$W$1,$D7-1,0),MATCH(U$4,'Adjust. no safeguard'!$D$10:$W$10,0))</f>
        <v>0.27020090000000013</v>
      </c>
      <c r="V7" s="277">
        <f ca="1">INDEX(OFFSET('Adjust. no safeguard'!$D$1:$W$1,$D7-1,0),MATCH(V$4,'Adjust. no safeguard'!$D$10:$W$10,0))</f>
        <v>0.27020090000000013</v>
      </c>
      <c r="W7" s="277">
        <f ca="1">INDEX(OFFSET('Adjust. no safeguard'!$D$1:$W$1,$D7-1,0),MATCH(W$4,'Adjust. no safeguard'!$D$10:$W$10,0))</f>
        <v>0.27020090000000013</v>
      </c>
      <c r="X7" s="277">
        <f ca="1">INDEX(OFFSET('Adjust. no safeguard'!$D$1:$W$1,$D7-1,0),MATCH(X$4,'Adjust. no safeguard'!$D$10:$W$10,0))</f>
        <v>0.27020090000000013</v>
      </c>
      <c r="Y7" s="191"/>
    </row>
    <row r="8" spans="1:25" x14ac:dyDescent="0.2">
      <c r="A8" s="191"/>
      <c r="B8" s="284">
        <v>4</v>
      </c>
      <c r="C8" s="288" t="s">
        <v>151</v>
      </c>
      <c r="D8" s="289">
        <v>62</v>
      </c>
      <c r="E8" s="290" t="s">
        <v>150</v>
      </c>
      <c r="F8" s="277">
        <f ca="1">INDEX(OFFSET('Adjust. no safeguard'!$D$1:$W$1,$D8-1,0),MATCH(F$4,'Adjust. no safeguard'!$D$10:$W$10,0))</f>
        <v>0.81013486992259998</v>
      </c>
      <c r="G8" s="277">
        <f ca="1">INDEX(OFFSET('Adjust. no safeguard'!$D$1:$W$1,$D8-1,0),MATCH(G$4,'Adjust. no safeguard'!$D$10:$W$10,0))</f>
        <v>0.88576236173872713</v>
      </c>
      <c r="H8" s="277">
        <f ca="1">INDEX(OFFSET('Adjust. no safeguard'!$D$1:$W$1,$D8-1,0),MATCH(H$4,'Adjust. no safeguard'!$D$10:$W$10,0))</f>
        <v>0.85683149378704215</v>
      </c>
      <c r="I8" s="277">
        <f ca="1">INDEX(OFFSET('Adjust. no safeguard'!$D$1:$W$1,$D8-1,0),MATCH(I$4,'Adjust. no safeguard'!$D$10:$W$10,0))</f>
        <v>0.62497571964023491</v>
      </c>
      <c r="J8" s="277">
        <f ca="1">INDEX(OFFSET('Adjust. no safeguard'!$D$1:$W$1,$D8-1,0),MATCH(J$4,'Adjust. no safeguard'!$D$10:$W$10,0))</f>
        <v>0.46279671997032462</v>
      </c>
      <c r="K8" s="277">
        <f ca="1">INDEX(OFFSET('Adjust. no safeguard'!$D$1:$W$1,$D8-1,0),MATCH(K$4,'Adjust. no safeguard'!$D$10:$W$10,0))</f>
        <v>0.35502052795617456</v>
      </c>
      <c r="L8" s="277">
        <f ca="1">INDEX(OFFSET('Adjust. no safeguard'!$D$1:$W$1,$D8-1,0),MATCH(L$4,'Adjust. no safeguard'!$D$10:$W$10,0))</f>
        <v>0.23668035197078596</v>
      </c>
      <c r="M8" s="277">
        <f ca="1">INDEX(OFFSET('Adjust. no safeguard'!$D$1:$W$1,$D8-1,0),MATCH(M$4,'Adjust. no safeguard'!$D$10:$W$10,0))</f>
        <v>0.11834017598538855</v>
      </c>
      <c r="N8" s="277">
        <f ca="1">INDEX(OFFSET('Adjust. no safeguard'!$D$1:$W$1,$D8-1,0),MATCH(N$4,'Adjust. no safeguard'!$D$10:$W$10,0))</f>
        <v>0</v>
      </c>
      <c r="O8" s="277">
        <f ca="1">INDEX(OFFSET('Adjust. no safeguard'!$D$1:$W$1,$D8-1,0),MATCH(O$4,'Adjust. no safeguard'!$D$10:$W$10,0))</f>
        <v>-3.9281572741245444E-7</v>
      </c>
      <c r="P8" s="277">
        <f ca="1">INDEX(OFFSET('Adjust. no safeguard'!$D$1:$W$1,$D8-1,0),MATCH(P$4,'Adjust. no safeguard'!$D$10:$W$10,0))</f>
        <v>-1.5713028131969509E-6</v>
      </c>
      <c r="Q8" s="277">
        <f ca="1">INDEX(OFFSET('Adjust. no safeguard'!$D$1:$W$1,$D8-1,0),MATCH(Q$4,'Adjust. no safeguard'!$D$10:$W$10,0))</f>
        <v>-1.1786691235693425E-6</v>
      </c>
      <c r="R8" s="277">
        <f ca="1">INDEX(OFFSET('Adjust. no safeguard'!$D$1:$W$1,$D8-1,0),MATCH(R$4,'Adjust. no safeguard'!$D$10:$W$10,0))</f>
        <v>-7.8581561004931197E-7</v>
      </c>
      <c r="S8" s="277">
        <f ca="1">INDEX(OFFSET('Adjust. no safeguard'!$D$1:$W$1,$D8-1,0),MATCH(S$4,'Adjust. no safeguard'!$D$10:$W$10,0))</f>
        <v>-7.8581561004931197E-7</v>
      </c>
      <c r="T8" s="277">
        <f ca="1">INDEX(OFFSET('Adjust. no safeguard'!$D$1:$W$1,$D8-1,0),MATCH(T$4,'Adjust. no safeguard'!$D$10:$W$10,0))</f>
        <v>-3.9252170453973893E-7</v>
      </c>
      <c r="U8" s="277">
        <f ca="1">INDEX(OFFSET('Adjust. no safeguard'!$D$1:$W$1,$D8-1,0),MATCH(U$4,'Adjust. no safeguard'!$D$10:$W$10,0))</f>
        <v>-1.1797275155434052E-6</v>
      </c>
      <c r="V8" s="277">
        <f ca="1">INDEX(OFFSET('Adjust. no safeguard'!$D$1:$W$1,$D8-1,0),MATCH(V$4,'Adjust. no safeguard'!$D$10:$W$10,0))</f>
        <v>2.1676556549721229E-9</v>
      </c>
      <c r="W8" s="277">
        <f ca="1">INDEX(OFFSET('Adjust. no safeguard'!$D$1:$W$1,$D8-1,0),MATCH(W$4,'Adjust. no safeguard'!$D$10:$W$10,0))</f>
        <v>2.1676556549721229E-9</v>
      </c>
      <c r="X8" s="277">
        <f ca="1">INDEX(OFFSET('Adjust. no safeguard'!$D$1:$W$1,$D8-1,0),MATCH(X$4,'Adjust. no safeguard'!$D$10:$W$10,0))</f>
        <v>2.1676512251822544E-9</v>
      </c>
      <c r="Y8" s="191"/>
    </row>
    <row r="9" spans="1:25" x14ac:dyDescent="0.2">
      <c r="A9" s="191"/>
      <c r="B9" s="284">
        <v>5</v>
      </c>
      <c r="C9" s="288" t="s">
        <v>152</v>
      </c>
      <c r="D9" s="289">
        <v>14</v>
      </c>
      <c r="E9" s="290" t="s">
        <v>148</v>
      </c>
      <c r="F9" s="277">
        <f ca="1">INDEX(OFFSET('Adjust. no safeguard'!$D$1:$W$1,$D9-1,0),MATCH(F$4,'Adjust. no safeguard'!$D$10:$W$10,0))</f>
        <v>3.2523000000000001E-3</v>
      </c>
      <c r="G9" s="277">
        <f ca="1">INDEX(OFFSET('Adjust. no safeguard'!$D$1:$W$1,$D9-1,0),MATCH(G$4,'Adjust. no safeguard'!$D$10:$W$10,0))</f>
        <v>2.5601999999999999E-3</v>
      </c>
      <c r="H9" s="277">
        <f ca="1">INDEX(OFFSET('Adjust. no safeguard'!$D$1:$W$1,$D9-1,0),MATCH(H$4,'Adjust. no safeguard'!$D$10:$W$10,0))</f>
        <v>1.5619E-3</v>
      </c>
      <c r="I9" s="277">
        <f ca="1">INDEX(OFFSET('Adjust. no safeguard'!$D$1:$W$1,$D9-1,0),MATCH(I$4,'Adjust. no safeguard'!$D$10:$W$10,0))</f>
        <v>3.3098299999999997E-2</v>
      </c>
      <c r="J9" s="277">
        <f ca="1">INDEX(OFFSET('Adjust. no safeguard'!$D$1:$W$1,$D9-1,0),MATCH(J$4,'Adjust. no safeguard'!$D$10:$W$10,0))</f>
        <v>0</v>
      </c>
      <c r="K9" s="277">
        <f ca="1">INDEX(OFFSET('Adjust. no safeguard'!$D$1:$W$1,$D9-1,0),MATCH(K$4,'Adjust. no safeguard'!$D$10:$W$10,0))</f>
        <v>0</v>
      </c>
      <c r="L9" s="277">
        <f ca="1">INDEX(OFFSET('Adjust. no safeguard'!$D$1:$W$1,$D9-1,0),MATCH(L$4,'Adjust. no safeguard'!$D$10:$W$10,0))</f>
        <v>0</v>
      </c>
      <c r="M9" s="277">
        <f ca="1">INDEX(OFFSET('Adjust. no safeguard'!$D$1:$W$1,$D9-1,0),MATCH(M$4,'Adjust. no safeguard'!$D$10:$W$10,0))</f>
        <v>0</v>
      </c>
      <c r="N9" s="277">
        <f ca="1">INDEX(OFFSET('Adjust. no safeguard'!$D$1:$W$1,$D9-1,0),MATCH(N$4,'Adjust. no safeguard'!$D$10:$W$10,0))</f>
        <v>0</v>
      </c>
      <c r="O9" s="277">
        <f ca="1">INDEX(OFFSET('Adjust. no safeguard'!$D$1:$W$1,$D9-1,0),MATCH(O$4,'Adjust. no safeguard'!$D$10:$W$10,0))</f>
        <v>0</v>
      </c>
      <c r="P9" s="277">
        <f ca="1">INDEX(OFFSET('Adjust. no safeguard'!$D$1:$W$1,$D9-1,0),MATCH(P$4,'Adjust. no safeguard'!$D$10:$W$10,0))</f>
        <v>0</v>
      </c>
      <c r="Q9" s="277">
        <f ca="1">INDEX(OFFSET('Adjust. no safeguard'!$D$1:$W$1,$D9-1,0),MATCH(Q$4,'Adjust. no safeguard'!$D$10:$W$10,0))</f>
        <v>0</v>
      </c>
      <c r="R9" s="277">
        <f ca="1">INDEX(OFFSET('Adjust. no safeguard'!$D$1:$W$1,$D9-1,0),MATCH(R$4,'Adjust. no safeguard'!$D$10:$W$10,0))</f>
        <v>0</v>
      </c>
      <c r="S9" s="277">
        <f ca="1">INDEX(OFFSET('Adjust. no safeguard'!$D$1:$W$1,$D9-1,0),MATCH(S$4,'Adjust. no safeguard'!$D$10:$W$10,0))</f>
        <v>0</v>
      </c>
      <c r="T9" s="277">
        <f ca="1">INDEX(OFFSET('Adjust. no safeguard'!$D$1:$W$1,$D9-1,0),MATCH(T$4,'Adjust. no safeguard'!$D$10:$W$10,0))</f>
        <v>0</v>
      </c>
      <c r="U9" s="277">
        <f ca="1">INDEX(OFFSET('Adjust. no safeguard'!$D$1:$W$1,$D9-1,0),MATCH(U$4,'Adjust. no safeguard'!$D$10:$W$10,0))</f>
        <v>0</v>
      </c>
      <c r="V9" s="277">
        <f ca="1">INDEX(OFFSET('Adjust. no safeguard'!$D$1:$W$1,$D9-1,0),MATCH(V$4,'Adjust. no safeguard'!$D$10:$W$10,0))</f>
        <v>0</v>
      </c>
      <c r="W9" s="277">
        <f ca="1">INDEX(OFFSET('Adjust. no safeguard'!$D$1:$W$1,$D9-1,0),MATCH(W$4,'Adjust. no safeguard'!$D$10:$W$10,0))</f>
        <v>0</v>
      </c>
      <c r="X9" s="277">
        <f ca="1">INDEX(OFFSET('Adjust. no safeguard'!$D$1:$W$1,$D9-1,0),MATCH(X$4,'Adjust. no safeguard'!$D$10:$W$10,0))</f>
        <v>0</v>
      </c>
      <c r="Y9" s="191"/>
    </row>
    <row r="10" spans="1:25" x14ac:dyDescent="0.2">
      <c r="A10" s="191"/>
      <c r="B10" s="284">
        <v>6</v>
      </c>
      <c r="C10" s="288" t="s">
        <v>153</v>
      </c>
      <c r="D10" s="289">
        <v>68</v>
      </c>
      <c r="E10" s="290" t="s">
        <v>148</v>
      </c>
      <c r="F10" s="277">
        <f ca="1">INDEX(OFFSET('Adjust. no safeguard'!$D$1:$W$1,$D10-1,0),MATCH(F$4,'Adjust. no safeguard'!$D$10:$W$10,0))</f>
        <v>0.59124962330069897</v>
      </c>
      <c r="G10" s="277">
        <f ca="1">INDEX(OFFSET('Adjust. no safeguard'!$D$1:$W$1,$D10-1,0),MATCH(G$4,'Adjust. no safeguard'!$D$10:$W$10,0))</f>
        <v>0.78192213335374294</v>
      </c>
      <c r="H10" s="277">
        <f ca="1">INDEX(OFFSET('Adjust. no safeguard'!$D$1:$W$1,$D10-1,0),MATCH(H$4,'Adjust. no safeguard'!$D$10:$W$10,0))</f>
        <v>0.92085891730334535</v>
      </c>
      <c r="I10" s="277">
        <f ca="1">INDEX(OFFSET('Adjust. no safeguard'!$D$1:$W$1,$D10-1,0),MATCH(I$4,'Adjust. no safeguard'!$D$10:$W$10,0))</f>
        <v>1.1229130465840675</v>
      </c>
      <c r="J10" s="277">
        <f ca="1">INDEX(OFFSET('Adjust. no safeguard'!$D$1:$W$1,$D10-1,0),MATCH(J$4,'Adjust. no safeguard'!$D$10:$W$10,0))</f>
        <v>1.2307653000253795</v>
      </c>
      <c r="K10" s="277">
        <f ca="1">INDEX(OFFSET('Adjust. no safeguard'!$D$1:$W$1,$D10-1,0),MATCH(K$4,'Adjust. no safeguard'!$D$10:$W$10,0))</f>
        <v>1.2431038168638167</v>
      </c>
      <c r="L10" s="277">
        <f ca="1">INDEX(OFFSET('Adjust. no safeguard'!$D$1:$W$1,$D10-1,0),MATCH(L$4,'Adjust. no safeguard'!$D$10:$W$10,0))</f>
        <v>1.249280200393815</v>
      </c>
      <c r="M10" s="277">
        <f ca="1">INDEX(OFFSET('Adjust. no safeguard'!$D$1:$W$1,$D10-1,0),MATCH(M$4,'Adjust. no safeguard'!$D$10:$W$10,0))</f>
        <v>1.2611813479527862</v>
      </c>
      <c r="N10" s="277">
        <f ca="1">INDEX(OFFSET('Adjust. no safeguard'!$D$1:$W$1,$D10-1,0),MATCH(N$4,'Adjust. no safeguard'!$D$10:$W$10,0))</f>
        <v>1.2781154617209316</v>
      </c>
      <c r="O10" s="277">
        <f ca="1">INDEX(OFFSET('Adjust. no safeguard'!$D$1:$W$1,$D10-1,0),MATCH(O$4,'Adjust. no safeguard'!$D$10:$W$10,0))</f>
        <v>1.304085875636134</v>
      </c>
      <c r="P10" s="277">
        <f ca="1">INDEX(OFFSET('Adjust. no safeguard'!$D$1:$W$1,$D10-1,0),MATCH(P$4,'Adjust. no safeguard'!$D$10:$W$10,0))</f>
        <v>1.3392140727777078</v>
      </c>
      <c r="Q10" s="277">
        <f ca="1">INDEX(OFFSET('Adjust. no safeguard'!$D$1:$W$1,$D10-1,0),MATCH(Q$4,'Adjust. no safeguard'!$D$10:$W$10,0))</f>
        <v>1.3829174313542749</v>
      </c>
      <c r="R10" s="277">
        <f ca="1">INDEX(OFFSET('Adjust. no safeguard'!$D$1:$W$1,$D10-1,0),MATCH(R$4,'Adjust. no safeguard'!$D$10:$W$10,0))</f>
        <v>1.4312781962541841</v>
      </c>
      <c r="S10" s="277">
        <f ca="1">INDEX(OFFSET('Adjust. no safeguard'!$D$1:$W$1,$D10-1,0),MATCH(S$4,'Adjust. no safeguard'!$D$10:$W$10,0))</f>
        <v>1.4852286466466964</v>
      </c>
      <c r="T10" s="277">
        <f ca="1">INDEX(OFFSET('Adjust. no safeguard'!$D$1:$W$1,$D10-1,0),MATCH(T$4,'Adjust. no safeguard'!$D$10:$W$10,0))</f>
        <v>1.5443117618658573</v>
      </c>
      <c r="U10" s="277">
        <f ca="1">INDEX(OFFSET('Adjust. no safeguard'!$D$1:$W$1,$D10-1,0),MATCH(U$4,'Adjust. no safeguard'!$D$10:$W$10,0))</f>
        <v>1.6077186565885206</v>
      </c>
      <c r="V10" s="277">
        <f ca="1">INDEX(OFFSET('Adjust. no safeguard'!$D$1:$W$1,$D10-1,0),MATCH(V$4,'Adjust. no safeguard'!$D$10:$W$10,0))</f>
        <v>1.675845334469823</v>
      </c>
      <c r="W10" s="277">
        <f ca="1">INDEX(OFFSET('Adjust. no safeguard'!$D$1:$W$1,$D10-1,0),MATCH(W$4,'Adjust. no safeguard'!$D$10:$W$10,0))</f>
        <v>1.7493249793836156</v>
      </c>
      <c r="X10" s="277">
        <f ca="1">INDEX(OFFSET('Adjust. no safeguard'!$D$1:$W$1,$D10-1,0),MATCH(X$4,'Adjust. no safeguard'!$D$10:$W$10,0))</f>
        <v>1.8272254477124548</v>
      </c>
      <c r="Y10" s="191"/>
    </row>
    <row r="11" spans="1:25" x14ac:dyDescent="0.2">
      <c r="A11" s="191"/>
      <c r="B11" s="284">
        <v>7</v>
      </c>
      <c r="C11" s="291" t="s">
        <v>63</v>
      </c>
      <c r="D11" s="289">
        <v>37</v>
      </c>
      <c r="E11" s="290" t="s">
        <v>154</v>
      </c>
      <c r="F11" s="277">
        <f ca="1">INDEX(OFFSET('Adjust. no safeguard'!$D$1:$W$1,$D11-1,0),MATCH(F$4,'Adjust. no safeguard'!$D$10:$W$10,0))</f>
        <v>2.88</v>
      </c>
      <c r="G11" s="277">
        <f ca="1">INDEX(OFFSET('Adjust. no safeguard'!$D$1:$W$1,$D11-1,0),MATCH(G$4,'Adjust. no safeguard'!$D$10:$W$10,0))</f>
        <v>3.4270849999999999</v>
      </c>
      <c r="H11" s="277">
        <f ca="1">INDEX(OFFSET('Adjust. no safeguard'!$D$1:$W$1,$D11-1,0),MATCH(H$4,'Adjust. no safeguard'!$D$10:$W$10,0))</f>
        <v>3.0076990000000001</v>
      </c>
      <c r="I11" s="277">
        <f ca="1">INDEX(OFFSET('Adjust. no safeguard'!$D$1:$W$1,$D11-1,0),MATCH(I$4,'Adjust. no safeguard'!$D$10:$W$10,0))</f>
        <v>3.1136879999999998</v>
      </c>
      <c r="J11" s="277">
        <f ca="1">INDEX(OFFSET('Adjust. no safeguard'!$D$1:$W$1,$D11-1,0),MATCH(J$4,'Adjust. no safeguard'!$D$10:$W$10,0))</f>
        <v>3.2113594999999999</v>
      </c>
      <c r="K11" s="277">
        <f ca="1">INDEX(OFFSET('Adjust. no safeguard'!$D$1:$W$1,$D11-1,0),MATCH(K$4,'Adjust. no safeguard'!$D$10:$W$10,0))</f>
        <v>3.3090310000000001</v>
      </c>
      <c r="L11" s="277">
        <f ca="1">INDEX(OFFSET('Adjust. no safeguard'!$D$1:$W$1,$D11-1,0),MATCH(L$4,'Adjust. no safeguard'!$D$10:$W$10,0))</f>
        <v>3.4067025000000002</v>
      </c>
      <c r="M11" s="277">
        <f ca="1">INDEX(OFFSET('Adjust. no safeguard'!$D$1:$W$1,$D11-1,0),MATCH(M$4,'Adjust. no safeguard'!$D$10:$W$10,0))</f>
        <v>3.5043740000000003</v>
      </c>
      <c r="N11" s="277">
        <f ca="1">INDEX(OFFSET('Adjust. no safeguard'!$D$1:$W$1,$D11-1,0),MATCH(N$4,'Adjust. no safeguard'!$D$10:$W$10,0))</f>
        <v>3.6020455000000005</v>
      </c>
      <c r="O11" s="277">
        <f ca="1">INDEX(OFFSET('Adjust. no safeguard'!$D$1:$W$1,$D11-1,0),MATCH(O$4,'Adjust. no safeguard'!$D$10:$W$10,0))</f>
        <v>3.6997170000000006</v>
      </c>
      <c r="P11" s="277">
        <f ca="1">INDEX(OFFSET('Adjust. no safeguard'!$D$1:$W$1,$D11-1,0),MATCH(P$4,'Adjust. no safeguard'!$D$10:$W$10,0))</f>
        <v>3.7973885000000007</v>
      </c>
      <c r="Q11" s="277">
        <f ca="1">INDEX(OFFSET('Adjust. no safeguard'!$D$1:$W$1,$D11-1,0),MATCH(Q$4,'Adjust. no safeguard'!$D$10:$W$10,0))</f>
        <v>3.89506</v>
      </c>
      <c r="R11" s="277">
        <f ca="1">INDEX(OFFSET('Adjust. no safeguard'!$D$1:$W$1,$D11-1,0),MATCH(R$4,'Adjust. no safeguard'!$D$10:$W$10,0))</f>
        <v>3.9003069999999997</v>
      </c>
      <c r="S11" s="277">
        <f ca="1">INDEX(OFFSET('Adjust. no safeguard'!$D$1:$W$1,$D11-1,0),MATCH(S$4,'Adjust. no safeguard'!$D$10:$W$10,0))</f>
        <v>3.905554</v>
      </c>
      <c r="T11" s="277">
        <f ca="1">INDEX(OFFSET('Adjust. no safeguard'!$D$1:$W$1,$D11-1,0),MATCH(T$4,'Adjust. no safeguard'!$D$10:$W$10,0))</f>
        <v>3.9108010000000002</v>
      </c>
      <c r="U11" s="277">
        <f ca="1">INDEX(OFFSET('Adjust. no safeguard'!$D$1:$W$1,$D11-1,0),MATCH(U$4,'Adjust. no safeguard'!$D$10:$W$10,0))</f>
        <v>3.916048</v>
      </c>
      <c r="V11" s="277">
        <f ca="1">INDEX(OFFSET('Adjust. no safeguard'!$D$1:$W$1,$D11-1,0),MATCH(V$4,'Adjust. no safeguard'!$D$10:$W$10,0))</f>
        <v>3.9212949999999998</v>
      </c>
      <c r="W11" s="277">
        <f ca="1">INDEX(OFFSET('Adjust. no safeguard'!$D$1:$W$1,$D11-1,0),MATCH(W$4,'Adjust. no safeguard'!$D$10:$W$10,0))</f>
        <v>3.926542</v>
      </c>
      <c r="X11" s="277">
        <f ca="1">INDEX(OFFSET('Adjust. no safeguard'!$D$1:$W$1,$D11-1,0),MATCH(X$4,'Adjust. no safeguard'!$D$10:$W$10,0))</f>
        <v>3.9317890000000002</v>
      </c>
      <c r="Y11" s="191"/>
    </row>
    <row r="12" spans="1:25" x14ac:dyDescent="0.2">
      <c r="A12" s="191"/>
      <c r="B12" s="284">
        <v>8</v>
      </c>
      <c r="C12" s="291" t="s">
        <v>64</v>
      </c>
      <c r="D12" s="289">
        <v>38</v>
      </c>
      <c r="E12" s="290" t="s">
        <v>154</v>
      </c>
      <c r="F12" s="277">
        <f ca="1">INDEX(OFFSET('Adjust. no safeguard'!$D$1:$W$1,$D12-1,0),MATCH(F$4,'Adjust. no safeguard'!$D$10:$W$10,0))</f>
        <v>3.43</v>
      </c>
      <c r="G12" s="277">
        <f ca="1">INDEX(OFFSET('Adjust. no safeguard'!$D$1:$W$1,$D12-1,0),MATCH(G$4,'Adjust. no safeguard'!$D$10:$W$10,0))</f>
        <v>3.5292500000000002</v>
      </c>
      <c r="H12" s="277">
        <f ca="1">INDEX(OFFSET('Adjust. no safeguard'!$D$1:$W$1,$D12-1,0),MATCH(H$4,'Adjust. no safeguard'!$D$10:$W$10,0))</f>
        <v>2.0662500000000001</v>
      </c>
      <c r="I12" s="277">
        <f ca="1">INDEX(OFFSET('Adjust. no safeguard'!$D$1:$W$1,$D12-1,0),MATCH(I$4,'Adjust. no safeguard'!$D$10:$W$10,0))</f>
        <v>1.9957499999999999</v>
      </c>
      <c r="J12" s="277">
        <f ca="1">INDEX(OFFSET('Adjust. no safeguard'!$D$1:$W$1,$D12-1,0),MATCH(J$4,'Adjust. no safeguard'!$D$10:$W$10,0))</f>
        <v>2.079285</v>
      </c>
      <c r="K12" s="277">
        <f ca="1">INDEX(OFFSET('Adjust. no safeguard'!$D$1:$W$1,$D12-1,0),MATCH(K$4,'Adjust. no safeguard'!$D$10:$W$10,0))</f>
        <v>2.16282</v>
      </c>
      <c r="L12" s="277">
        <f ca="1">INDEX(OFFSET('Adjust. no safeguard'!$D$1:$W$1,$D12-1,0),MATCH(L$4,'Adjust. no safeguard'!$D$10:$W$10,0))</f>
        <v>2.2463549999999999</v>
      </c>
      <c r="M12" s="277">
        <f ca="1">INDEX(OFFSET('Adjust. no safeguard'!$D$1:$W$1,$D12-1,0),MATCH(M$4,'Adjust. no safeguard'!$D$10:$W$10,0))</f>
        <v>2.3298899999999998</v>
      </c>
      <c r="N12" s="277">
        <f ca="1">INDEX(OFFSET('Adjust. no safeguard'!$D$1:$W$1,$D12-1,0),MATCH(N$4,'Adjust. no safeguard'!$D$10:$W$10,0))</f>
        <v>2.4134249999999997</v>
      </c>
      <c r="O12" s="277">
        <f ca="1">INDEX(OFFSET('Adjust. no safeguard'!$D$1:$W$1,$D12-1,0),MATCH(O$4,'Adjust. no safeguard'!$D$10:$W$10,0))</f>
        <v>2.4969599999999996</v>
      </c>
      <c r="P12" s="277">
        <f ca="1">INDEX(OFFSET('Adjust. no safeguard'!$D$1:$W$1,$D12-1,0),MATCH(P$4,'Adjust. no safeguard'!$D$10:$W$10,0))</f>
        <v>2.5804949999999995</v>
      </c>
      <c r="Q12" s="277">
        <f ca="1">INDEX(OFFSET('Adjust. no safeguard'!$D$1:$W$1,$D12-1,0),MATCH(Q$4,'Adjust. no safeguard'!$D$10:$W$10,0))</f>
        <v>2.6640299999999999</v>
      </c>
      <c r="R12" s="277">
        <f ca="1">INDEX(OFFSET('Adjust. no safeguard'!$D$1:$W$1,$D12-1,0),MATCH(R$4,'Adjust. no safeguard'!$D$10:$W$10,0))</f>
        <v>2.6308284999999998</v>
      </c>
      <c r="S12" s="277">
        <f ca="1">INDEX(OFFSET('Adjust. no safeguard'!$D$1:$W$1,$D12-1,0),MATCH(S$4,'Adjust. no safeguard'!$D$10:$W$10,0))</f>
        <v>2.5976270000000001</v>
      </c>
      <c r="T12" s="277">
        <f ca="1">INDEX(OFFSET('Adjust. no safeguard'!$D$1:$W$1,$D12-1,0),MATCH(T$4,'Adjust. no safeguard'!$D$10:$W$10,0))</f>
        <v>2.5644255</v>
      </c>
      <c r="U12" s="277">
        <f ca="1">INDEX(OFFSET('Adjust. no safeguard'!$D$1:$W$1,$D12-1,0),MATCH(U$4,'Adjust. no safeguard'!$D$10:$W$10,0))</f>
        <v>2.5312239999999999</v>
      </c>
      <c r="V12" s="277">
        <f ca="1">INDEX(OFFSET('Adjust. no safeguard'!$D$1:$W$1,$D12-1,0),MATCH(V$4,'Adjust. no safeguard'!$D$10:$W$10,0))</f>
        <v>2.4980224999999998</v>
      </c>
      <c r="W12" s="277">
        <f ca="1">INDEX(OFFSET('Adjust. no safeguard'!$D$1:$W$1,$D12-1,0),MATCH(W$4,'Adjust. no safeguard'!$D$10:$W$10,0))</f>
        <v>2.4648209999999997</v>
      </c>
      <c r="X12" s="277">
        <f ca="1">INDEX(OFFSET('Adjust. no safeguard'!$D$1:$W$1,$D12-1,0),MATCH(X$4,'Adjust. no safeguard'!$D$10:$W$10,0))</f>
        <v>2.4316195</v>
      </c>
      <c r="Y12" s="191"/>
    </row>
    <row r="13" spans="1:25" x14ac:dyDescent="0.2">
      <c r="A13" s="191"/>
      <c r="B13" s="284">
        <v>9</v>
      </c>
      <c r="C13" s="288" t="s">
        <v>155</v>
      </c>
      <c r="D13" s="289">
        <v>36</v>
      </c>
      <c r="E13" s="290" t="s">
        <v>154</v>
      </c>
      <c r="F13" s="277">
        <f ca="1">INDEX(OFFSET('Adjust. no safeguard'!$D$1:$W$1,$D13-1,0),MATCH(F$4,'Adjust. no safeguard'!$D$10:$W$10,0))</f>
        <v>1.699492</v>
      </c>
      <c r="G13" s="277">
        <f ca="1">INDEX(OFFSET('Adjust. no safeguard'!$D$1:$W$1,$D13-1,0),MATCH(G$4,'Adjust. no safeguard'!$D$10:$W$10,0))</f>
        <v>2.2164999999999999</v>
      </c>
      <c r="H13" s="277">
        <f ca="1">INDEX(OFFSET('Adjust. no safeguard'!$D$1:$W$1,$D13-1,0),MATCH(H$4,'Adjust. no safeguard'!$D$10:$W$10,0))</f>
        <v>2.5547230000000001</v>
      </c>
      <c r="I13" s="277">
        <f ca="1">INDEX(OFFSET('Adjust. no safeguard'!$D$1:$W$1,$D13-1,0),MATCH(I$4,'Adjust. no safeguard'!$D$10:$W$10,0))</f>
        <v>2.8932796137143195</v>
      </c>
      <c r="J13" s="277">
        <f ca="1">INDEX(OFFSET('Adjust. no safeguard'!$D$1:$W$1,$D13-1,0),MATCH(J$4,'Adjust. no safeguard'!$D$10:$W$10,0))</f>
        <v>2.9559423549637596</v>
      </c>
      <c r="K13" s="277">
        <f ca="1">INDEX(OFFSET('Adjust. no safeguard'!$D$1:$W$1,$D13-1,0),MATCH(K$4,'Adjust. no safeguard'!$D$10:$W$10,0))</f>
        <v>3.0016280918303835</v>
      </c>
      <c r="L13" s="277">
        <f ca="1">INDEX(OFFSET('Adjust. no safeguard'!$D$1:$W$1,$D13-1,0),MATCH(L$4,'Adjust. no safeguard'!$D$10:$W$10,0))</f>
        <v>3.0514426520075948</v>
      </c>
      <c r="M13" s="277">
        <f ca="1">INDEX(OFFSET('Adjust. no safeguard'!$D$1:$W$1,$D13-1,0),MATCH(M$4,'Adjust. no safeguard'!$D$10:$W$10,0))</f>
        <v>3.1072545889112537</v>
      </c>
      <c r="N13" s="277">
        <f ca="1">INDEX(OFFSET('Adjust. no safeguard'!$D$1:$W$1,$D13-1,0),MATCH(N$4,'Adjust. no safeguard'!$D$10:$W$10,0))</f>
        <v>3.1684217186908108</v>
      </c>
      <c r="O13" s="277">
        <f ca="1">INDEX(OFFSET('Adjust. no safeguard'!$D$1:$W$1,$D13-1,0),MATCH(O$4,'Adjust. no safeguard'!$D$10:$W$10,0))</f>
        <v>3.234421180918706</v>
      </c>
      <c r="P13" s="277">
        <f ca="1">INDEX(OFFSET('Adjust. no safeguard'!$D$1:$W$1,$D13-1,0),MATCH(P$4,'Adjust. no safeguard'!$D$10:$W$10,0))</f>
        <v>3.3061296137632215</v>
      </c>
      <c r="Q13" s="277">
        <f ca="1">INDEX(OFFSET('Adjust. no safeguard'!$D$1:$W$1,$D13-1,0),MATCH(Q$4,'Adjust. no safeguard'!$D$10:$W$10,0))</f>
        <v>3.3829308710229453</v>
      </c>
      <c r="R13" s="277">
        <f ca="1">INDEX(OFFSET('Adjust. no safeguard'!$D$1:$W$1,$D13-1,0),MATCH(R$4,'Adjust. no safeguard'!$D$10:$W$10,0))</f>
        <v>3.451469358609959</v>
      </c>
      <c r="S13" s="277">
        <f ca="1">INDEX(OFFSET('Adjust. no safeguard'!$D$1:$W$1,$D13-1,0),MATCH(S$4,'Adjust. no safeguard'!$D$10:$W$10,0))</f>
        <v>3.513205650318751</v>
      </c>
      <c r="T13" s="277">
        <f ca="1">INDEX(OFFSET('Adjust. no safeguard'!$D$1:$W$1,$D13-1,0),MATCH(T$4,'Adjust. no safeguard'!$D$10:$W$10,0))</f>
        <v>3.5683555819210486</v>
      </c>
      <c r="U13" s="277">
        <f ca="1">INDEX(OFFSET('Adjust. no safeguard'!$D$1:$W$1,$D13-1,0),MATCH(U$4,'Adjust. no safeguard'!$D$10:$W$10,0))</f>
        <v>3.6171754148881576</v>
      </c>
      <c r="V13" s="277">
        <f ca="1">INDEX(OFFSET('Adjust. no safeguard'!$D$1:$W$1,$D13-1,0),MATCH(V$4,'Adjust. no safeguard'!$D$10:$W$10,0))</f>
        <v>3.6602897389267355</v>
      </c>
      <c r="W13" s="277">
        <f ca="1">INDEX(OFFSET('Adjust. no safeguard'!$D$1:$W$1,$D13-1,0),MATCH(W$4,'Adjust. no safeguard'!$D$10:$W$10,0))</f>
        <v>3.6983245134953737</v>
      </c>
      <c r="X13" s="277">
        <f ca="1">INDEX(OFFSET('Adjust. no safeguard'!$D$1:$W$1,$D13-1,0),MATCH(X$4,'Adjust. no safeguard'!$D$10:$W$10,0))</f>
        <v>3.7318057188341536</v>
      </c>
      <c r="Y13" s="191"/>
    </row>
    <row r="14" spans="1:25" x14ac:dyDescent="0.2">
      <c r="A14" s="191"/>
      <c r="B14" s="284">
        <v>10</v>
      </c>
      <c r="C14" s="288" t="s">
        <v>156</v>
      </c>
      <c r="D14" s="289">
        <v>72</v>
      </c>
      <c r="E14" s="290" t="s">
        <v>148</v>
      </c>
      <c r="F14" s="277">
        <f ca="1">INDEX(OFFSET('Adjust. no safeguard'!$D$1:$W$1,$D14-1,0),MATCH(F$4,'Adjust. no safeguard'!$D$10:$W$10,0))</f>
        <v>1.865075</v>
      </c>
      <c r="G14" s="277">
        <f ca="1">INDEX(OFFSET('Adjust. no safeguard'!$D$1:$W$1,$D14-1,0),MATCH(G$4,'Adjust. no safeguard'!$D$10:$W$10,0))</f>
        <v>0.94640139999999995</v>
      </c>
      <c r="H14" s="277">
        <f ca="1">INDEX(OFFSET('Adjust. no safeguard'!$D$1:$W$1,$D14-1,0),MATCH(H$4,'Adjust. no safeguard'!$D$10:$W$10,0))</f>
        <v>2.7174999999999998</v>
      </c>
      <c r="I14" s="277">
        <f ca="1">INDEX(OFFSET('Adjust. no safeguard'!$D$1:$W$1,$D14-1,0),MATCH(I$4,'Adjust. no safeguard'!$D$10:$W$10,0))</f>
        <v>3.073</v>
      </c>
      <c r="J14" s="277">
        <f ca="1">INDEX(OFFSET('Adjust. no safeguard'!$D$1:$W$1,$D14-1,0),MATCH(J$4,'Adjust. no safeguard'!$D$10:$W$10,0))</f>
        <v>0</v>
      </c>
      <c r="K14" s="277">
        <f ca="1">INDEX(OFFSET('Adjust. no safeguard'!$D$1:$W$1,$D14-1,0),MATCH(K$4,'Adjust. no safeguard'!$D$10:$W$10,0))</f>
        <v>0</v>
      </c>
      <c r="L14" s="277">
        <f ca="1">INDEX(OFFSET('Adjust. no safeguard'!$D$1:$W$1,$D14-1,0),MATCH(L$4,'Adjust. no safeguard'!$D$10:$W$10,0))</f>
        <v>0</v>
      </c>
      <c r="M14" s="277">
        <f ca="1">INDEX(OFFSET('Adjust. no safeguard'!$D$1:$W$1,$D14-1,0),MATCH(M$4,'Adjust. no safeguard'!$D$10:$W$10,0))</f>
        <v>0</v>
      </c>
      <c r="N14" s="277">
        <f ca="1">INDEX(OFFSET('Adjust. no safeguard'!$D$1:$W$1,$D14-1,0),MATCH(N$4,'Adjust. no safeguard'!$D$10:$W$10,0))</f>
        <v>0</v>
      </c>
      <c r="O14" s="277">
        <f ca="1">INDEX(OFFSET('Adjust. no safeguard'!$D$1:$W$1,$D14-1,0),MATCH(O$4,'Adjust. no safeguard'!$D$10:$W$10,0))</f>
        <v>0</v>
      </c>
      <c r="P14" s="277">
        <f ca="1">INDEX(OFFSET('Adjust. no safeguard'!$D$1:$W$1,$D14-1,0),MATCH(P$4,'Adjust. no safeguard'!$D$10:$W$10,0))</f>
        <v>0</v>
      </c>
      <c r="Q14" s="277">
        <f ca="1">INDEX(OFFSET('Adjust. no safeguard'!$D$1:$W$1,$D14-1,0),MATCH(Q$4,'Adjust. no safeguard'!$D$10:$W$10,0))</f>
        <v>0</v>
      </c>
      <c r="R14" s="277">
        <f ca="1">INDEX(OFFSET('Adjust. no safeguard'!$D$1:$W$1,$D14-1,0),MATCH(R$4,'Adjust. no safeguard'!$D$10:$W$10,0))</f>
        <v>0</v>
      </c>
      <c r="S14" s="277">
        <f ca="1">INDEX(OFFSET('Adjust. no safeguard'!$D$1:$W$1,$D14-1,0),MATCH(S$4,'Adjust. no safeguard'!$D$10:$W$10,0))</f>
        <v>0</v>
      </c>
      <c r="T14" s="277">
        <f ca="1">INDEX(OFFSET('Adjust. no safeguard'!$D$1:$W$1,$D14-1,0),MATCH(T$4,'Adjust. no safeguard'!$D$10:$W$10,0))</f>
        <v>0</v>
      </c>
      <c r="U14" s="277">
        <f ca="1">INDEX(OFFSET('Adjust. no safeguard'!$D$1:$W$1,$D14-1,0),MATCH(U$4,'Adjust. no safeguard'!$D$10:$W$10,0))</f>
        <v>0</v>
      </c>
      <c r="V14" s="277">
        <f ca="1">INDEX(OFFSET('Adjust. no safeguard'!$D$1:$W$1,$D14-1,0),MATCH(V$4,'Adjust. no safeguard'!$D$10:$W$10,0))</f>
        <v>0</v>
      </c>
      <c r="W14" s="277">
        <f ca="1">INDEX(OFFSET('Adjust. no safeguard'!$D$1:$W$1,$D14-1,0),MATCH(W$4,'Adjust. no safeguard'!$D$10:$W$10,0))</f>
        <v>0</v>
      </c>
      <c r="X14" s="277">
        <f ca="1">INDEX(OFFSET('Adjust. no safeguard'!$D$1:$W$1,$D14-1,0),MATCH(X$4,'Adjust. no safeguard'!$D$10:$W$10,0))</f>
        <v>0</v>
      </c>
      <c r="Y14" s="191"/>
    </row>
    <row r="15" spans="1:25" x14ac:dyDescent="0.2">
      <c r="A15" s="191"/>
      <c r="B15" s="284">
        <v>11</v>
      </c>
      <c r="C15" s="292" t="s">
        <v>40</v>
      </c>
      <c r="D15" s="289">
        <v>27</v>
      </c>
      <c r="E15" s="290" t="s">
        <v>157</v>
      </c>
      <c r="F15" s="277">
        <f ca="1">(INDEX(OFFSET('Adjust. no safeguard'!$D$1:$W$1,$D15-1,0),MATCH(F$4,'Adjust. no safeguard'!$D$10:$W$10,0))/INDEX(OFFSET('Adjust. no safeguard'!$D$1:$W$1,$D15-1,0),MATCH(E$4,'Adjust. no safeguard'!$D$10:$W$10,0))-1)*100</f>
        <v>3.3423690000000006</v>
      </c>
      <c r="G15" s="277">
        <f ca="1">(INDEX(OFFSET('Adjust. no safeguard'!$D$1:$W$1,$D15-1,0),MATCH(G$4,'Adjust. no safeguard'!$D$10:$W$10,0))/INDEX(OFFSET('Adjust. no safeguard'!$D$1:$W$1,$D15-1,0),MATCH(F$4,'Adjust. no safeguard'!$D$10:$W$10,0))-1)*100</f>
        <v>2.3658119999999894</v>
      </c>
      <c r="H15" s="277">
        <f ca="1">(INDEX(OFFSET('Adjust. no safeguard'!$D$1:$W$1,$D15-1,0),MATCH(H$4,'Adjust. no safeguard'!$D$10:$W$10,0))/INDEX(OFFSET('Adjust. no safeguard'!$D$1:$W$1,$D15-1,0),MATCH(G$4,'Adjust. no safeguard'!$D$10:$W$10,0))-1)*100</f>
        <v>2.5020129999999918</v>
      </c>
      <c r="I15" s="277">
        <f ca="1">(INDEX(OFFSET('Adjust. no safeguard'!$D$1:$W$1,$D15-1,0),MATCH(I$4,'Adjust. no safeguard'!$D$10:$W$10,0))/INDEX(OFFSET('Adjust. no safeguard'!$D$1:$W$1,$D15-1,0),MATCH(H$4,'Adjust. no safeguard'!$D$10:$W$10,0))-1)*100</f>
        <v>2.1233400000000069</v>
      </c>
      <c r="J15" s="277">
        <f ca="1">(INDEX(OFFSET('Adjust. no safeguard'!$D$1:$W$1,$D15-1,0),MATCH(J$4,'Adjust. no safeguard'!$D$10:$W$10,0))/INDEX(OFFSET('Adjust. no safeguard'!$D$1:$W$1,$D15-1,0),MATCH(I$4,'Adjust. no safeguard'!$D$10:$W$10,0))-1)*100</f>
        <v>2.1318940000000008</v>
      </c>
      <c r="K15" s="277">
        <f ca="1">(INDEX(OFFSET('Adjust. no safeguard'!$D$1:$W$1,$D15-1,0),MATCH(K$4,'Adjust. no safeguard'!$D$10:$W$10,0))/INDEX(OFFSET('Adjust. no safeguard'!$D$1:$W$1,$D15-1,0),MATCH(J$4,'Adjust. no safeguard'!$D$10:$W$10,0))-1)*100</f>
        <v>1.7966740000000092</v>
      </c>
      <c r="L15" s="277">
        <f ca="1">(INDEX(OFFSET('Adjust. no safeguard'!$D$1:$W$1,$D15-1,0),MATCH(L$4,'Adjust. no safeguard'!$D$10:$W$10,0))/INDEX(OFFSET('Adjust. no safeguard'!$D$1:$W$1,$D15-1,0),MATCH(K$4,'Adjust. no safeguard'!$D$10:$W$10,0))-1)*100</f>
        <v>1.7906430000000029</v>
      </c>
      <c r="M15" s="277">
        <f ca="1">(INDEX(OFFSET('Adjust. no safeguard'!$D$1:$W$1,$D15-1,0),MATCH(M$4,'Adjust. no safeguard'!$D$10:$W$10,0))/INDEX(OFFSET('Adjust. no safeguard'!$D$1:$W$1,$D15-1,0),MATCH(L$4,'Adjust. no safeguard'!$D$10:$W$10,0))-1)*100</f>
        <v>1.6801889999999986</v>
      </c>
      <c r="N15" s="277">
        <f ca="1">(INDEX(OFFSET('Adjust. no safeguard'!$D$1:$W$1,$D15-1,0),MATCH(N$4,'Adjust. no safeguard'!$D$10:$W$10,0))/INDEX(OFFSET('Adjust. no safeguard'!$D$1:$W$1,$D15-1,0),MATCH(M$4,'Adjust. no safeguard'!$D$10:$W$10,0))-1)*100</f>
        <v>1.6257509999999975</v>
      </c>
      <c r="O15" s="277">
        <f ca="1">(INDEX(OFFSET('Adjust. no safeguard'!$D$1:$W$1,$D15-1,0),MATCH(O$4,'Adjust. no safeguard'!$D$10:$W$10,0))/INDEX(OFFSET('Adjust. no safeguard'!$D$1:$W$1,$D15-1,0),MATCH(N$4,'Adjust. no safeguard'!$D$10:$W$10,0))-1)*100</f>
        <v>1.5743440000000053</v>
      </c>
      <c r="P15" s="277">
        <f ca="1">(INDEX(OFFSET('Adjust. no safeguard'!$D$1:$W$1,$D15-1,0),MATCH(P$4,'Adjust. no safeguard'!$D$10:$W$10,0))/INDEX(OFFSET('Adjust. no safeguard'!$D$1:$W$1,$D15-1,0),MATCH(O$4,'Adjust. no safeguard'!$D$10:$W$10,0))-1)*100</f>
        <v>1.5709060000000052</v>
      </c>
      <c r="Q15" s="277">
        <f ca="1">(INDEX(OFFSET('Adjust. no safeguard'!$D$1:$W$1,$D15-1,0),MATCH(Q$4,'Adjust. no safeguard'!$D$10:$W$10,0))/INDEX(OFFSET('Adjust. no safeguard'!$D$1:$W$1,$D15-1,0),MATCH(P$4,'Adjust. no safeguard'!$D$10:$W$10,0))-1)*100</f>
        <v>1.6214409999999901</v>
      </c>
      <c r="R15" s="277">
        <f ca="1">(INDEX(OFFSET('Adjust. no safeguard'!$D$1:$W$1,$D15-1,0),MATCH(R$4,'Adjust. no safeguard'!$D$10:$W$10,0))/INDEX(OFFSET('Adjust. no safeguard'!$D$1:$W$1,$D15-1,0),MATCH(Q$4,'Adjust. no safeguard'!$D$10:$W$10,0))-1)*100</f>
        <v>1.5645769999999892</v>
      </c>
      <c r="S15" s="277">
        <f ca="1">(INDEX(OFFSET('Adjust. no safeguard'!$D$1:$W$1,$D15-1,0),MATCH(S$4,'Adjust. no safeguard'!$D$10:$W$10,0))/INDEX(OFFSET('Adjust. no safeguard'!$D$1:$W$1,$D15-1,0),MATCH(R$4,'Adjust. no safeguard'!$D$10:$W$10,0))-1)*100</f>
        <v>1.5077140000000044</v>
      </c>
      <c r="T15" s="277">
        <f ca="1">(INDEX(OFFSET('Adjust. no safeguard'!$D$1:$W$1,$D15-1,0),MATCH(T$4,'Adjust. no safeguard'!$D$10:$W$10,0))/INDEX(OFFSET('Adjust. no safeguard'!$D$1:$W$1,$D15-1,0),MATCH(S$4,'Adjust. no safeguard'!$D$10:$W$10,0))-1)*100</f>
        <v>1.4508500000000035</v>
      </c>
      <c r="U15" s="277">
        <f ca="1">(INDEX(OFFSET('Adjust. no safeguard'!$D$1:$W$1,$D15-1,0),MATCH(U$4,'Adjust. no safeguard'!$D$10:$W$10,0))/INDEX(OFFSET('Adjust. no safeguard'!$D$1:$W$1,$D15-1,0),MATCH(T$4,'Adjust. no safeguard'!$D$10:$W$10,0))-1)*100</f>
        <v>1.3712039999999925</v>
      </c>
      <c r="V15" s="277">
        <f ca="1">(INDEX(OFFSET('Adjust. no safeguard'!$D$1:$W$1,$D15-1,0),MATCH(V$4,'Adjust. no safeguard'!$D$10:$W$10,0))/INDEX(OFFSET('Adjust. no safeguard'!$D$1:$W$1,$D15-1,0),MATCH(U$4,'Adjust. no safeguard'!$D$10:$W$10,0))-1)*100</f>
        <v>1.2780199999999908</v>
      </c>
      <c r="W15" s="277">
        <f ca="1">(INDEX(OFFSET('Adjust. no safeguard'!$D$1:$W$1,$D15-1,0),MATCH(W$4,'Adjust. no safeguard'!$D$10:$W$10,0))/INDEX(OFFSET('Adjust. no safeguard'!$D$1:$W$1,$D15-1,0),MATCH(V$4,'Adjust. no safeguard'!$D$10:$W$10,0))-1)*100</f>
        <v>1.1673700000000009</v>
      </c>
      <c r="X15" s="277">
        <f ca="1">(INDEX(OFFSET('Adjust. no safeguard'!$D$1:$W$1,$D15-1,0),MATCH(X$4,'Adjust. no safeguard'!$D$10:$W$10,0))/INDEX(OFFSET('Adjust. no safeguard'!$D$1:$W$1,$D15-1,0),MATCH(W$4,'Adjust. no safeguard'!$D$10:$W$10,0))-1)*100</f>
        <v>1.0959769999999924</v>
      </c>
      <c r="Y15" s="191"/>
    </row>
    <row r="16" spans="1:25" x14ac:dyDescent="0.2">
      <c r="A16" s="191"/>
      <c r="B16" s="284">
        <v>12</v>
      </c>
      <c r="C16" s="280" t="s">
        <v>158</v>
      </c>
      <c r="D16" s="289">
        <v>24</v>
      </c>
      <c r="E16" s="290" t="s">
        <v>157</v>
      </c>
      <c r="F16" s="277">
        <f ca="1">INDEX(OFFSET('Adjust. no safeguard'!$D$1:$W$1,$D16-1,0),MATCH(F$4,'Adjust. no safeguard'!$D$10:$W$10,0))</f>
        <v>0.34227229999999997</v>
      </c>
      <c r="G16" s="277">
        <f ca="1">INDEX(OFFSET('Adjust. no safeguard'!$D$1:$W$1,$D16-1,0),MATCH(G$4,'Adjust. no safeguard'!$D$10:$W$10,0))</f>
        <v>2.167764</v>
      </c>
      <c r="H16" s="277">
        <f ca="1">INDEX(OFFSET('Adjust. no safeguard'!$D$1:$W$1,$D16-1,0),MATCH(H$4,'Adjust. no safeguard'!$D$10:$W$10,0))</f>
        <v>2.5780230000000071</v>
      </c>
      <c r="I16" s="277">
        <f ca="1">INDEX(OFFSET('Adjust. no safeguard'!$D$1:$W$1,$D16-1,0),MATCH(I$4,'Adjust. no safeguard'!$D$10:$W$10,0))</f>
        <v>2.7297940087311234</v>
      </c>
      <c r="J16" s="277">
        <f ca="1">INDEX(OFFSET('Adjust. no safeguard'!$D$1:$W$1,$D16-1,0),MATCH(J$4,'Adjust. no safeguard'!$D$10:$W$10,0))</f>
        <v>2.5536288991327538</v>
      </c>
      <c r="K16" s="277">
        <f ca="1">INDEX(OFFSET('Adjust. no safeguard'!$D$1:$W$1,$D16-1,0),MATCH(K$4,'Adjust. no safeguard'!$D$10:$W$10,0))</f>
        <v>2.0748696368843689</v>
      </c>
      <c r="L16" s="277">
        <f ca="1">INDEX(OFFSET('Adjust. no safeguard'!$D$1:$W$1,$D16-1,0),MATCH(L$4,'Adjust. no safeguard'!$D$10:$W$10,0))</f>
        <v>2.0952561965955852</v>
      </c>
      <c r="M16" s="277">
        <f ca="1">INDEX(OFFSET('Adjust. no safeguard'!$D$1:$W$1,$D16-1,0),MATCH(M$4,'Adjust. no safeguard'!$D$10:$W$10,0))</f>
        <v>1.9835637948297569</v>
      </c>
      <c r="N16" s="277">
        <f ca="1">INDEX(OFFSET('Adjust. no safeguard'!$D$1:$W$1,$D16-1,0),MATCH(N$4,'Adjust. no safeguard'!$D$10:$W$10,0))</f>
        <v>1.9280613940657387</v>
      </c>
      <c r="O16" s="277">
        <f ca="1">INDEX(OFFSET('Adjust. no safeguard'!$D$1:$W$1,$D16-1,0),MATCH(O$4,'Adjust. no safeguard'!$D$10:$W$10,0))</f>
        <v>1.5743449999999992</v>
      </c>
      <c r="P16" s="277">
        <f ca="1">INDEX(OFFSET('Adjust. no safeguard'!$D$1:$W$1,$D16-1,0),MATCH(P$4,'Adjust. no safeguard'!$D$10:$W$10,0))</f>
        <v>1.5709090000000092</v>
      </c>
      <c r="Q16" s="277">
        <f ca="1">INDEX(OFFSET('Adjust. no safeguard'!$D$1:$W$1,$D16-1,0),MATCH(Q$4,'Adjust. no safeguard'!$D$10:$W$10,0))</f>
        <v>1.6214399999999962</v>
      </c>
      <c r="R16" s="277">
        <f ca="1">INDEX(OFFSET('Adjust. no safeguard'!$D$1:$W$1,$D16-1,0),MATCH(R$4,'Adjust. no safeguard'!$D$10:$W$10,0))</f>
        <v>1.5645759999999953</v>
      </c>
      <c r="S16" s="277">
        <f ca="1">INDEX(OFFSET('Adjust. no safeguard'!$D$1:$W$1,$D16-1,0),MATCH(S$4,'Adjust. no safeguard'!$D$10:$W$10,0))</f>
        <v>1.5077140000000044</v>
      </c>
      <c r="T16" s="277">
        <f ca="1">INDEX(OFFSET('Adjust. no safeguard'!$D$1:$W$1,$D16-1,0),MATCH(T$4,'Adjust. no safeguard'!$D$10:$W$10,0))</f>
        <v>1.4508490000000096</v>
      </c>
      <c r="U16" s="277">
        <f ca="1">INDEX(OFFSET('Adjust. no safeguard'!$D$1:$W$1,$D16-1,0),MATCH(U$4,'Adjust. no safeguard'!$D$10:$W$10,0))</f>
        <v>1.3712060000000026</v>
      </c>
      <c r="V16" s="277">
        <f ca="1">INDEX(OFFSET('Adjust. no safeguard'!$D$1:$W$1,$D16-1,0),MATCH(V$4,'Adjust. no safeguard'!$D$10:$W$10,0))</f>
        <v>1.2780170000000091</v>
      </c>
      <c r="W16" s="277">
        <f ca="1">INDEX(OFFSET('Adjust. no safeguard'!$D$1:$W$1,$D16-1,0),MATCH(W$4,'Adjust. no safeguard'!$D$10:$W$10,0))</f>
        <v>1.1673700000000009</v>
      </c>
      <c r="X16" s="277">
        <f ca="1">INDEX(OFFSET('Adjust. no safeguard'!$D$1:$W$1,$D16-1,0),MATCH(X$4,'Adjust. no safeguard'!$D$10:$W$10,0))</f>
        <v>1.0959769999999924</v>
      </c>
      <c r="Y16" s="191"/>
    </row>
    <row r="17" spans="1:25" x14ac:dyDescent="0.2">
      <c r="A17" s="191"/>
      <c r="B17" s="284">
        <v>13</v>
      </c>
      <c r="C17" s="293" t="s">
        <v>159</v>
      </c>
      <c r="D17" s="289">
        <v>42</v>
      </c>
      <c r="E17" s="290" t="s">
        <v>157</v>
      </c>
      <c r="F17" s="277">
        <f ca="1">INDEX(OFFSET('Adjust. no safeguard'!$D$1:$W$1,$D17-1,0),MATCH(F$4,'Adjust. no safeguard'!$D$10:$W$10,0))</f>
        <v>9.0217489999999998</v>
      </c>
      <c r="G17" s="277">
        <f ca="1">INDEX(OFFSET('Adjust. no safeguard'!$D$1:$W$1,$D17-1,0),MATCH(G$4,'Adjust. no safeguard'!$D$10:$W$10,0))</f>
        <v>3.6147499999999999</v>
      </c>
      <c r="H17" s="277">
        <f ca="1">INDEX(OFFSET('Adjust. no safeguard'!$D$1:$W$1,$D17-1,0),MATCH(H$4,'Adjust. no safeguard'!$D$10:$W$10,0))</f>
        <v>3.4727869999999998</v>
      </c>
      <c r="I17" s="277">
        <f ca="1">INDEX(OFFSET('Adjust. no safeguard'!$D$1:$W$1,$D17-1,0),MATCH(I$4,'Adjust. no safeguard'!$D$10:$W$10,0))</f>
        <v>2.2027230000000002</v>
      </c>
      <c r="J17" s="277">
        <f ca="1">INDEX(OFFSET('Adjust. no safeguard'!$D$1:$W$1,$D17-1,0),MATCH(J$4,'Adjust. no safeguard'!$D$10:$W$10,0))</f>
        <v>2.2211326250000001</v>
      </c>
      <c r="K17" s="277">
        <f ca="1">INDEX(OFFSET('Adjust. no safeguard'!$D$1:$W$1,$D17-1,0),MATCH(K$4,'Adjust. no safeguard'!$D$10:$W$10,0))</f>
        <v>2.2395422500000004</v>
      </c>
      <c r="L17" s="277">
        <f ca="1">INDEX(OFFSET('Adjust. no safeguard'!$D$1:$W$1,$D17-1,0),MATCH(L$4,'Adjust. no safeguard'!$D$10:$W$10,0))</f>
        <v>2.2579518750000003</v>
      </c>
      <c r="M17" s="277">
        <f ca="1">INDEX(OFFSET('Adjust. no safeguard'!$D$1:$W$1,$D17-1,0),MATCH(M$4,'Adjust. no safeguard'!$D$10:$W$10,0))</f>
        <v>2.2763615000000001</v>
      </c>
      <c r="N17" s="277">
        <f ca="1">INDEX(OFFSET('Adjust. no safeguard'!$D$1:$W$1,$D17-1,0),MATCH(N$4,'Adjust. no safeguard'!$D$10:$W$10,0))</f>
        <v>2.294771125</v>
      </c>
      <c r="O17" s="277">
        <f ca="1">INDEX(OFFSET('Adjust. no safeguard'!$D$1:$W$1,$D17-1,0),MATCH(O$4,'Adjust. no safeguard'!$D$10:$W$10,0))</f>
        <v>2.3131807499999999</v>
      </c>
      <c r="P17" s="277">
        <f ca="1">INDEX(OFFSET('Adjust. no safeguard'!$D$1:$W$1,$D17-1,0),MATCH(P$4,'Adjust. no safeguard'!$D$10:$W$10,0))</f>
        <v>2.3315903750000002</v>
      </c>
      <c r="Q17" s="277">
        <f ca="1">INDEX(OFFSET('Adjust. no safeguard'!$D$1:$W$1,$D17-1,0),MATCH(Q$4,'Adjust. no safeguard'!$D$10:$W$10,0))</f>
        <v>2.35</v>
      </c>
      <c r="R17" s="277">
        <f ca="1">INDEX(OFFSET('Adjust. no safeguard'!$D$1:$W$1,$D17-1,0),MATCH(R$4,'Adjust. no safeguard'!$D$10:$W$10,0))</f>
        <v>2.3325</v>
      </c>
      <c r="S17" s="277">
        <f ca="1">INDEX(OFFSET('Adjust. no safeguard'!$D$1:$W$1,$D17-1,0),MATCH(S$4,'Adjust. no safeguard'!$D$10:$W$10,0))</f>
        <v>2.3149999999999999</v>
      </c>
      <c r="T17" s="277">
        <f ca="1">INDEX(OFFSET('Adjust. no safeguard'!$D$1:$W$1,$D17-1,0),MATCH(T$4,'Adjust. no safeguard'!$D$10:$W$10,0))</f>
        <v>2.2974999999999999</v>
      </c>
      <c r="U17" s="277">
        <f ca="1">INDEX(OFFSET('Adjust. no safeguard'!$D$1:$W$1,$D17-1,0),MATCH(U$4,'Adjust. no safeguard'!$D$10:$W$10,0))</f>
        <v>2.2800000000000002</v>
      </c>
      <c r="V17" s="277">
        <f ca="1">INDEX(OFFSET('Adjust. no safeguard'!$D$1:$W$1,$D17-1,0),MATCH(V$4,'Adjust. no safeguard'!$D$10:$W$10,0))</f>
        <v>2.2625000000000002</v>
      </c>
      <c r="W17" s="277">
        <f ca="1">INDEX(OFFSET('Adjust. no safeguard'!$D$1:$W$1,$D17-1,0),MATCH(W$4,'Adjust. no safeguard'!$D$10:$W$10,0))</f>
        <v>2.2450000000000001</v>
      </c>
      <c r="X17" s="277">
        <f ca="1">INDEX(OFFSET('Adjust. no safeguard'!$D$1:$W$1,$D17-1,0),MATCH(X$4,'Adjust. no safeguard'!$D$10:$W$10,0))</f>
        <v>2.2275</v>
      </c>
      <c r="Y17" s="191"/>
    </row>
    <row r="18" spans="1:25" x14ac:dyDescent="0.2">
      <c r="A18" s="191"/>
      <c r="B18" s="284">
        <v>14</v>
      </c>
      <c r="C18" s="280" t="s">
        <v>160</v>
      </c>
      <c r="D18" s="289">
        <v>33</v>
      </c>
      <c r="E18" s="290" t="s">
        <v>157</v>
      </c>
      <c r="F18" s="277">
        <f ca="1">INDEX(OFFSET('Adjust. no safeguard'!$D$1:$W$1,$D18-1,0),MATCH(F$4,'Adjust. no safeguard'!$D$10:$W$10,0))</f>
        <v>9.3949002478024966</v>
      </c>
      <c r="G18" s="277">
        <f ca="1">INDEX(OFFSET('Adjust. no safeguard'!$D$1:$W$1,$D18-1,0),MATCH(G$4,'Adjust. no safeguard'!$D$10:$W$10,0))</f>
        <v>5.8608732491900017</v>
      </c>
      <c r="H18" s="277">
        <f ca="1">INDEX(OFFSET('Adjust. no safeguard'!$D$1:$W$1,$D18-1,0),MATCH(H$4,'Adjust. no safeguard'!$D$10:$W$10,0))</f>
        <v>6.1403392476010232</v>
      </c>
      <c r="I18" s="277">
        <f ca="1">INDEX(OFFSET('Adjust. no safeguard'!$D$1:$W$1,$D18-1,0),MATCH(I$4,'Adjust. no safeguard'!$D$10:$W$10,0))</f>
        <v>4.9926468092140519</v>
      </c>
      <c r="J18" s="277">
        <f ca="1">INDEX(OFFSET('Adjust. no safeguard'!$D$1:$W$1,$D18-1,0),MATCH(J$4,'Adjust. no safeguard'!$D$10:$W$10,0))</f>
        <v>4.8314810087328297</v>
      </c>
      <c r="K18" s="277">
        <f ca="1">INDEX(OFFSET('Adjust. no safeguard'!$D$1:$W$1,$D18-1,0),MATCH(K$4,'Adjust. no safeguard'!$D$10:$W$10,0))</f>
        <v>4.3608794690348285</v>
      </c>
      <c r="L18" s="277">
        <f ca="1">INDEX(OFFSET('Adjust. no safeguard'!$D$1:$W$1,$D18-1,0),MATCH(L$4,'Adjust. no safeguard'!$D$10:$W$10,0))</f>
        <v>4.4005179481726664</v>
      </c>
      <c r="M18" s="277">
        <f ca="1">INDEX(OFFSET('Adjust. no safeguard'!$D$1:$W$1,$D18-1,0),MATCH(M$4,'Adjust. no safeguard'!$D$10:$W$10,0))</f>
        <v>4.3050783773831869</v>
      </c>
      <c r="N18" s="277">
        <f ca="1">INDEX(OFFSET('Adjust. no safeguard'!$D$1:$W$1,$D18-1,0),MATCH(N$4,'Adjust. no safeguard'!$D$10:$W$10,0))</f>
        <v>4.2670771152090392</v>
      </c>
      <c r="O18" s="277">
        <f ca="1">INDEX(OFFSET('Adjust. no safeguard'!$D$1:$W$1,$D18-1,0),MATCH(O$4,'Adjust. no safeguard'!$D$10:$W$10,0))</f>
        <v>3.9239431954785964</v>
      </c>
      <c r="P18" s="277">
        <f ca="1">INDEX(OFFSET('Adjust. no safeguard'!$D$1:$W$1,$D18-1,0),MATCH(P$4,'Adjust. no safeguard'!$D$10:$W$10,0))</f>
        <v>3.9391265380440021</v>
      </c>
      <c r="Q18" s="277">
        <f ca="1">INDEX(OFFSET('Adjust. no safeguard'!$D$1:$W$1,$D18-1,0),MATCH(Q$4,'Adjust. no safeguard'!$D$10:$W$10,0))</f>
        <v>4.0095438400000072</v>
      </c>
      <c r="R18" s="277">
        <f ca="1">INDEX(OFFSET('Adjust. no safeguard'!$D$1:$W$1,$D18-1,0),MATCH(R$4,'Adjust. no safeguard'!$D$10:$W$10,0))</f>
        <v>3.9335697352000043</v>
      </c>
      <c r="S18" s="277">
        <f ca="1">INDEX(OFFSET('Adjust. no safeguard'!$D$1:$W$1,$D18-1,0),MATCH(S$4,'Adjust. no safeguard'!$D$10:$W$10,0))</f>
        <v>3.8576175791000145</v>
      </c>
      <c r="T18" s="277">
        <f ca="1">INDEX(OFFSET('Adjust. no safeguard'!$D$1:$W$1,$D18-1,0),MATCH(T$4,'Adjust. no safeguard'!$D$10:$W$10,0))</f>
        <v>3.7816822557749985</v>
      </c>
      <c r="U18" s="277">
        <f ca="1">INDEX(OFFSET('Adjust. no safeguard'!$D$1:$W$1,$D18-1,0),MATCH(U$4,'Adjust. no safeguard'!$D$10:$W$10,0))</f>
        <v>3.6824694968000005</v>
      </c>
      <c r="V18" s="277">
        <f ca="1">INDEX(OFFSET('Adjust. no safeguard'!$D$1:$W$1,$D18-1,0),MATCH(V$4,'Adjust. no safeguard'!$D$10:$W$10,0))</f>
        <v>3.5694321346249946</v>
      </c>
      <c r="W18" s="277">
        <f ca="1">INDEX(OFFSET('Adjust. no safeguard'!$D$1:$W$1,$D18-1,0),MATCH(W$4,'Adjust. no safeguard'!$D$10:$W$10,0))</f>
        <v>3.4385774565000027</v>
      </c>
      <c r="X18" s="277">
        <f ca="1">INDEX(OFFSET('Adjust. no safeguard'!$D$1:$W$1,$D18-1,0),MATCH(X$4,'Adjust. no safeguard'!$D$10:$W$10,0))</f>
        <v>3.3478898876750041</v>
      </c>
      <c r="Y18" s="191"/>
    </row>
    <row r="19" spans="1:25" x14ac:dyDescent="0.2">
      <c r="A19" s="191"/>
      <c r="B19" s="278"/>
      <c r="C19" s="299"/>
      <c r="D19" s="299"/>
      <c r="E19" s="299"/>
      <c r="F19" s="299"/>
      <c r="G19" s="299"/>
      <c r="H19" s="299"/>
      <c r="I19" s="299"/>
      <c r="J19" s="299"/>
      <c r="K19" s="191"/>
      <c r="L19" s="191"/>
      <c r="M19" s="191"/>
      <c r="N19" s="191"/>
      <c r="O19" s="191"/>
      <c r="P19" s="191"/>
      <c r="Q19" s="191"/>
      <c r="R19" s="191"/>
      <c r="S19" s="191"/>
      <c r="T19" s="191"/>
      <c r="U19" s="191"/>
      <c r="V19" s="191"/>
      <c r="W19" s="191"/>
      <c r="X19" s="191"/>
      <c r="Y19" s="191"/>
    </row>
    <row r="20" spans="1:25" x14ac:dyDescent="0.2">
      <c r="A20" s="191"/>
      <c r="B20" s="300"/>
      <c r="C20" s="282" t="s">
        <v>161</v>
      </c>
      <c r="D20" s="283"/>
      <c r="E20" s="283"/>
      <c r="F20" s="283"/>
      <c r="G20" s="299"/>
      <c r="H20" s="299"/>
      <c r="I20" s="299"/>
      <c r="J20" s="299"/>
      <c r="K20" s="191"/>
      <c r="L20" s="191"/>
      <c r="M20" s="191"/>
      <c r="N20" s="191"/>
      <c r="O20" s="191"/>
      <c r="P20" s="191"/>
      <c r="Q20" s="191"/>
      <c r="R20" s="191"/>
      <c r="S20" s="191"/>
      <c r="T20" s="191"/>
      <c r="U20" s="191"/>
      <c r="V20" s="191"/>
      <c r="W20" s="191"/>
      <c r="X20" s="191"/>
      <c r="Y20" s="191"/>
    </row>
    <row r="21" spans="1:25" x14ac:dyDescent="0.2">
      <c r="A21" s="191"/>
      <c r="B21" s="278"/>
      <c r="C21" s="299"/>
      <c r="D21" s="299"/>
      <c r="E21" s="299"/>
      <c r="F21" s="299"/>
      <c r="G21" s="299"/>
      <c r="H21" s="299"/>
      <c r="I21" s="299"/>
      <c r="J21" s="299"/>
      <c r="K21" s="191"/>
      <c r="L21" s="191"/>
      <c r="M21" s="191"/>
      <c r="N21" s="191"/>
      <c r="O21" s="191"/>
      <c r="P21" s="191"/>
      <c r="Q21" s="191"/>
      <c r="R21" s="191"/>
      <c r="S21" s="191"/>
      <c r="T21" s="191"/>
      <c r="U21" s="191"/>
      <c r="V21" s="191"/>
      <c r="W21" s="191"/>
      <c r="X21" s="191"/>
      <c r="Y21" s="191"/>
    </row>
    <row r="22" spans="1:25" x14ac:dyDescent="0.2">
      <c r="A22" s="191"/>
      <c r="B22" s="284"/>
      <c r="C22" s="282" t="s">
        <v>12</v>
      </c>
      <c r="D22" s="282"/>
      <c r="E22" s="286">
        <f>F22-1</f>
        <v>-1</v>
      </c>
      <c r="F22" s="287"/>
      <c r="G22" s="287"/>
      <c r="H22" s="287"/>
      <c r="I22" s="287"/>
      <c r="J22" s="287"/>
      <c r="K22" s="287"/>
      <c r="L22" s="287"/>
      <c r="M22" s="287"/>
      <c r="N22" s="287"/>
      <c r="O22" s="287"/>
      <c r="P22" s="287"/>
      <c r="Q22" s="287"/>
      <c r="R22" s="287"/>
      <c r="S22" s="287"/>
      <c r="T22" s="287"/>
      <c r="U22" s="287"/>
      <c r="V22" s="287"/>
      <c r="W22" s="287"/>
      <c r="X22" s="287"/>
      <c r="Y22" s="191"/>
    </row>
    <row r="23" spans="1:25" x14ac:dyDescent="0.2">
      <c r="A23" s="191"/>
      <c r="B23" s="284">
        <v>1</v>
      </c>
      <c r="C23" s="288" t="s">
        <v>147</v>
      </c>
      <c r="D23" s="289">
        <v>56</v>
      </c>
      <c r="E23" s="290" t="s">
        <v>148</v>
      </c>
      <c r="F23" s="277"/>
      <c r="G23" s="277"/>
      <c r="H23" s="277"/>
      <c r="I23" s="277"/>
      <c r="J23" s="277"/>
      <c r="K23" s="277"/>
      <c r="L23" s="277"/>
      <c r="M23" s="277"/>
      <c r="N23" s="277"/>
      <c r="O23" s="277"/>
      <c r="P23" s="277"/>
      <c r="Q23" s="277"/>
      <c r="R23" s="277"/>
      <c r="S23" s="277"/>
      <c r="T23" s="277"/>
      <c r="U23" s="277"/>
      <c r="V23" s="277"/>
      <c r="W23" s="277"/>
      <c r="X23" s="277"/>
      <c r="Y23" s="191"/>
    </row>
    <row r="24" spans="1:25" x14ac:dyDescent="0.2">
      <c r="A24" s="191"/>
      <c r="B24" s="284">
        <v>2</v>
      </c>
      <c r="C24" s="288" t="s">
        <v>63</v>
      </c>
      <c r="D24" s="289">
        <v>36</v>
      </c>
      <c r="E24" s="290" t="s">
        <v>154</v>
      </c>
      <c r="F24" s="277"/>
      <c r="G24" s="277"/>
      <c r="H24" s="277"/>
      <c r="I24" s="277"/>
      <c r="J24" s="277"/>
      <c r="K24" s="277"/>
      <c r="L24" s="277"/>
      <c r="M24" s="277"/>
      <c r="N24" s="277"/>
      <c r="O24" s="277"/>
      <c r="P24" s="277"/>
      <c r="Q24" s="277"/>
      <c r="R24" s="277"/>
      <c r="S24" s="277"/>
      <c r="T24" s="277"/>
      <c r="U24" s="277"/>
      <c r="V24" s="277"/>
      <c r="W24" s="277"/>
      <c r="X24" s="277"/>
      <c r="Y24" s="191"/>
    </row>
    <row r="25" spans="1:25" x14ac:dyDescent="0.2">
      <c r="A25" s="191"/>
      <c r="B25" s="284">
        <v>3</v>
      </c>
      <c r="C25" s="288" t="s">
        <v>64</v>
      </c>
      <c r="D25" s="289">
        <v>37</v>
      </c>
      <c r="E25" s="290" t="s">
        <v>154</v>
      </c>
      <c r="F25" s="277"/>
      <c r="G25" s="277"/>
      <c r="H25" s="277"/>
      <c r="I25" s="277"/>
      <c r="J25" s="277"/>
      <c r="K25" s="277"/>
      <c r="L25" s="277"/>
      <c r="M25" s="277"/>
      <c r="N25" s="277"/>
      <c r="O25" s="277"/>
      <c r="P25" s="277"/>
      <c r="Q25" s="277"/>
      <c r="R25" s="277"/>
      <c r="S25" s="277"/>
      <c r="T25" s="277"/>
      <c r="U25" s="277"/>
      <c r="V25" s="277"/>
      <c r="W25" s="277"/>
      <c r="X25" s="277"/>
      <c r="Y25" s="191"/>
    </row>
    <row r="26" spans="1:25" x14ac:dyDescent="0.2">
      <c r="A26" s="191"/>
      <c r="B26" s="284"/>
      <c r="C26" s="282" t="s">
        <v>13</v>
      </c>
      <c r="D26" s="282"/>
      <c r="E26" s="286">
        <f>F26-1</f>
        <v>-1</v>
      </c>
      <c r="F26" s="287"/>
      <c r="G26" s="287"/>
      <c r="H26" s="287"/>
      <c r="I26" s="287"/>
      <c r="J26" s="287"/>
      <c r="K26" s="287"/>
      <c r="L26" s="287"/>
      <c r="M26" s="287"/>
      <c r="N26" s="287"/>
      <c r="O26" s="287"/>
      <c r="P26" s="287"/>
      <c r="Q26" s="287"/>
      <c r="R26" s="287"/>
      <c r="S26" s="287"/>
      <c r="T26" s="287"/>
      <c r="U26" s="287"/>
      <c r="V26" s="287"/>
      <c r="W26" s="287"/>
      <c r="X26" s="287"/>
      <c r="Y26" s="191"/>
    </row>
    <row r="27" spans="1:25" x14ac:dyDescent="0.2">
      <c r="A27" s="191"/>
      <c r="B27" s="284">
        <v>4</v>
      </c>
      <c r="C27" s="288" t="s">
        <v>147</v>
      </c>
      <c r="D27" s="289">
        <v>56</v>
      </c>
      <c r="E27" s="290" t="s">
        <v>148</v>
      </c>
      <c r="F27" s="277"/>
      <c r="G27" s="277"/>
      <c r="H27" s="277"/>
      <c r="I27" s="277"/>
      <c r="J27" s="277"/>
      <c r="K27" s="277"/>
      <c r="L27" s="277"/>
      <c r="M27" s="277"/>
      <c r="N27" s="277"/>
      <c r="O27" s="277"/>
      <c r="P27" s="277"/>
      <c r="Q27" s="277"/>
      <c r="R27" s="277"/>
      <c r="S27" s="277"/>
      <c r="T27" s="277"/>
      <c r="U27" s="277"/>
      <c r="V27" s="277"/>
      <c r="W27" s="277"/>
      <c r="X27" s="277"/>
      <c r="Y27" s="191"/>
    </row>
    <row r="28" spans="1:25" x14ac:dyDescent="0.2">
      <c r="A28" s="191"/>
      <c r="B28" s="284">
        <v>5</v>
      </c>
      <c r="C28" s="288" t="s">
        <v>18</v>
      </c>
      <c r="D28" s="289">
        <v>12</v>
      </c>
      <c r="E28" s="290" t="s">
        <v>150</v>
      </c>
      <c r="F28" s="277"/>
      <c r="G28" s="277"/>
      <c r="H28" s="277"/>
      <c r="I28" s="277"/>
      <c r="J28" s="277"/>
      <c r="K28" s="277"/>
      <c r="L28" s="277"/>
      <c r="M28" s="277"/>
      <c r="N28" s="277"/>
      <c r="O28" s="277"/>
      <c r="P28" s="277"/>
      <c r="Q28" s="277"/>
      <c r="R28" s="277"/>
      <c r="S28" s="277"/>
      <c r="T28" s="277"/>
      <c r="U28" s="277"/>
      <c r="V28" s="277"/>
      <c r="W28" s="277"/>
      <c r="X28" s="277"/>
      <c r="Y28" s="191"/>
    </row>
    <row r="29" spans="1:25" x14ac:dyDescent="0.2">
      <c r="A29" s="191"/>
      <c r="B29" s="284"/>
      <c r="C29" s="282" t="s">
        <v>162</v>
      </c>
      <c r="D29" s="282"/>
      <c r="E29" s="286">
        <f>F29-1</f>
        <v>-1</v>
      </c>
      <c r="F29" s="287"/>
      <c r="G29" s="287"/>
      <c r="H29" s="287"/>
      <c r="I29" s="287"/>
      <c r="J29" s="287"/>
      <c r="K29" s="287"/>
      <c r="L29" s="287"/>
      <c r="M29" s="287"/>
      <c r="N29" s="287"/>
      <c r="O29" s="287"/>
      <c r="P29" s="287"/>
      <c r="Q29" s="287"/>
      <c r="R29" s="287"/>
      <c r="S29" s="287"/>
      <c r="T29" s="287"/>
      <c r="U29" s="287"/>
      <c r="V29" s="287"/>
      <c r="W29" s="287"/>
      <c r="X29" s="287"/>
      <c r="Y29" s="191"/>
    </row>
    <row r="30" spans="1:25" x14ac:dyDescent="0.2">
      <c r="A30" s="191"/>
      <c r="B30" s="284">
        <v>6</v>
      </c>
      <c r="C30" s="288" t="s">
        <v>147</v>
      </c>
      <c r="D30" s="289">
        <v>57</v>
      </c>
      <c r="E30" s="290" t="s">
        <v>148</v>
      </c>
      <c r="F30" s="277"/>
      <c r="G30" s="277"/>
      <c r="H30" s="277"/>
      <c r="I30" s="277"/>
      <c r="J30" s="277"/>
      <c r="K30" s="277"/>
      <c r="L30" s="277"/>
      <c r="M30" s="277"/>
      <c r="N30" s="277"/>
      <c r="O30" s="277"/>
      <c r="P30" s="277"/>
      <c r="Q30" s="277"/>
      <c r="R30" s="277"/>
      <c r="S30" s="277"/>
      <c r="T30" s="277"/>
      <c r="U30" s="277"/>
      <c r="V30" s="277"/>
      <c r="W30" s="277"/>
      <c r="X30" s="277"/>
      <c r="Y30" s="191"/>
    </row>
    <row r="31" spans="1:25" x14ac:dyDescent="0.2">
      <c r="A31" s="191"/>
      <c r="B31" s="284">
        <v>7</v>
      </c>
      <c r="C31" s="288" t="s">
        <v>63</v>
      </c>
      <c r="D31" s="289">
        <v>37</v>
      </c>
      <c r="E31" s="290" t="s">
        <v>154</v>
      </c>
      <c r="F31" s="277"/>
      <c r="G31" s="277"/>
      <c r="H31" s="277"/>
      <c r="I31" s="277"/>
      <c r="J31" s="277"/>
      <c r="K31" s="277"/>
      <c r="L31" s="277"/>
      <c r="M31" s="277"/>
      <c r="N31" s="277"/>
      <c r="O31" s="277"/>
      <c r="P31" s="277"/>
      <c r="Q31" s="277"/>
      <c r="R31" s="277"/>
      <c r="S31" s="277"/>
      <c r="T31" s="277"/>
      <c r="U31" s="277"/>
      <c r="V31" s="277"/>
      <c r="W31" s="277"/>
      <c r="X31" s="277"/>
      <c r="Y31" s="191"/>
    </row>
    <row r="32" spans="1:25" x14ac:dyDescent="0.2">
      <c r="A32" s="191"/>
      <c r="B32" s="284">
        <v>8</v>
      </c>
      <c r="C32" s="288" t="s">
        <v>64</v>
      </c>
      <c r="D32" s="289">
        <v>38</v>
      </c>
      <c r="E32" s="290" t="s">
        <v>154</v>
      </c>
      <c r="F32" s="277"/>
      <c r="G32" s="277"/>
      <c r="H32" s="277"/>
      <c r="I32" s="277"/>
      <c r="J32" s="277"/>
      <c r="K32" s="277"/>
      <c r="L32" s="277"/>
      <c r="M32" s="277"/>
      <c r="N32" s="277"/>
      <c r="O32" s="277"/>
      <c r="P32" s="277"/>
      <c r="Q32" s="277"/>
      <c r="R32" s="277"/>
      <c r="S32" s="277"/>
      <c r="T32" s="277"/>
      <c r="U32" s="277"/>
      <c r="V32" s="277"/>
      <c r="W32" s="277"/>
      <c r="X32" s="277"/>
      <c r="Y32" s="191"/>
    </row>
    <row r="33" spans="1:25" x14ac:dyDescent="0.2">
      <c r="A33" s="191"/>
      <c r="B33" s="284">
        <v>9</v>
      </c>
      <c r="C33" s="280" t="s">
        <v>158</v>
      </c>
      <c r="D33" s="289">
        <v>23</v>
      </c>
      <c r="E33" s="290" t="s">
        <v>157</v>
      </c>
      <c r="F33" s="277"/>
      <c r="G33" s="277"/>
      <c r="H33" s="277"/>
      <c r="I33" s="277"/>
      <c r="J33" s="277"/>
      <c r="K33" s="277"/>
      <c r="L33" s="277"/>
      <c r="M33" s="277"/>
      <c r="N33" s="277"/>
      <c r="O33" s="277"/>
      <c r="P33" s="277"/>
      <c r="Q33" s="277"/>
      <c r="R33" s="277"/>
      <c r="S33" s="277"/>
      <c r="T33" s="277"/>
      <c r="U33" s="277"/>
      <c r="V33" s="277"/>
      <c r="W33" s="277"/>
      <c r="X33" s="277"/>
      <c r="Y33" s="191"/>
    </row>
    <row r="34" spans="1:25" x14ac:dyDescent="0.2">
      <c r="A34" s="191"/>
      <c r="B34" s="284">
        <v>10</v>
      </c>
      <c r="C34" s="292" t="s">
        <v>40</v>
      </c>
      <c r="D34" s="289">
        <v>27</v>
      </c>
      <c r="E34" s="290" t="s">
        <v>157</v>
      </c>
      <c r="F34" s="277"/>
      <c r="G34" s="277"/>
      <c r="H34" s="277"/>
      <c r="I34" s="277"/>
      <c r="J34" s="277"/>
      <c r="K34" s="277"/>
      <c r="L34" s="277"/>
      <c r="M34" s="277"/>
      <c r="N34" s="277"/>
      <c r="O34" s="277"/>
      <c r="P34" s="277"/>
      <c r="Q34" s="277"/>
      <c r="R34" s="277"/>
      <c r="S34" s="277"/>
      <c r="T34" s="277"/>
      <c r="U34" s="277"/>
      <c r="V34" s="277"/>
      <c r="W34" s="277"/>
      <c r="X34" s="277"/>
      <c r="Y34" s="191"/>
    </row>
    <row r="35" spans="1:25" x14ac:dyDescent="0.2">
      <c r="A35" s="191"/>
      <c r="B35" s="284"/>
      <c r="C35" s="282" t="s">
        <v>163</v>
      </c>
      <c r="D35" s="282"/>
      <c r="E35" s="286">
        <f>F35-1</f>
        <v>-1</v>
      </c>
      <c r="F35" s="295"/>
      <c r="G35" s="191"/>
      <c r="H35" s="191"/>
      <c r="I35" s="191"/>
      <c r="J35" s="191"/>
      <c r="K35" s="191"/>
      <c r="L35" s="191"/>
      <c r="M35" s="191"/>
      <c r="N35" s="191"/>
      <c r="O35" s="191"/>
      <c r="P35" s="191"/>
      <c r="Q35" s="191"/>
      <c r="R35" s="191"/>
      <c r="S35" s="191"/>
      <c r="T35" s="191"/>
      <c r="U35" s="191"/>
      <c r="V35" s="191"/>
      <c r="W35" s="191"/>
      <c r="X35" s="191"/>
      <c r="Y35" s="191"/>
    </row>
    <row r="36" spans="1:25" x14ac:dyDescent="0.2">
      <c r="A36" s="191"/>
      <c r="B36" s="284">
        <v>11</v>
      </c>
      <c r="C36" s="288" t="s">
        <v>164</v>
      </c>
      <c r="D36" s="301" t="s">
        <v>168</v>
      </c>
      <c r="E36" s="290" t="s">
        <v>154</v>
      </c>
      <c r="F36" s="277"/>
      <c r="G36" s="308"/>
      <c r="H36" s="297"/>
      <c r="I36" s="298"/>
      <c r="J36" s="298"/>
      <c r="K36" s="297"/>
      <c r="L36" s="298"/>
      <c r="M36" s="297"/>
      <c r="N36" s="297"/>
      <c r="O36" s="298"/>
      <c r="P36" s="298"/>
      <c r="Q36" s="297"/>
      <c r="R36" s="298"/>
      <c r="S36" s="297"/>
      <c r="T36" s="302"/>
      <c r="U36" s="86"/>
      <c r="V36" s="309"/>
      <c r="W36" s="310"/>
      <c r="X36" s="309"/>
      <c r="Y36" s="86"/>
    </row>
    <row r="37" spans="1:25" x14ac:dyDescent="0.2">
      <c r="A37" s="191"/>
      <c r="B37" s="278"/>
      <c r="C37" s="299"/>
      <c r="D37" s="299"/>
      <c r="E37" s="299"/>
      <c r="F37" s="299"/>
      <c r="G37" s="299"/>
      <c r="H37" s="299"/>
      <c r="I37" s="299"/>
      <c r="J37" s="299"/>
      <c r="K37" s="191"/>
      <c r="L37" s="191"/>
      <c r="M37" s="191"/>
      <c r="N37" s="191"/>
      <c r="O37" s="191"/>
      <c r="P37" s="191"/>
      <c r="Q37" s="308"/>
      <c r="R37" s="308"/>
      <c r="S37" s="308"/>
      <c r="T37" s="308"/>
      <c r="U37" s="308"/>
      <c r="V37" s="308"/>
      <c r="W37" s="191"/>
      <c r="X37" s="191"/>
      <c r="Y37" s="191"/>
    </row>
    <row r="38" spans="1:25" x14ac:dyDescent="0.2">
      <c r="A38" s="191"/>
      <c r="B38" s="300"/>
      <c r="C38" s="282" t="s">
        <v>165</v>
      </c>
      <c r="D38" s="283"/>
      <c r="E38" s="283"/>
      <c r="F38" s="294"/>
      <c r="G38" s="191"/>
      <c r="H38" s="191"/>
      <c r="I38" s="191"/>
      <c r="J38" s="191"/>
      <c r="K38" s="191"/>
      <c r="L38" s="191"/>
      <c r="M38" s="191"/>
      <c r="N38" s="191"/>
      <c r="O38" s="191"/>
      <c r="P38" s="191"/>
      <c r="Q38" s="191"/>
      <c r="R38" s="191"/>
      <c r="S38" s="191"/>
      <c r="T38" s="191"/>
      <c r="U38" s="191"/>
      <c r="V38" s="191"/>
      <c r="W38" s="191"/>
      <c r="X38" s="191"/>
      <c r="Y38" s="191"/>
    </row>
    <row r="39" spans="1:25" x14ac:dyDescent="0.2">
      <c r="A39" s="191"/>
      <c r="B39" s="278"/>
      <c r="C39" s="299"/>
      <c r="D39" s="299"/>
      <c r="E39" s="299"/>
      <c r="F39" s="299"/>
      <c r="G39" s="299"/>
      <c r="H39" s="299"/>
      <c r="I39" s="299"/>
      <c r="J39" s="299"/>
      <c r="K39" s="191"/>
      <c r="L39" s="191"/>
      <c r="M39" s="191"/>
      <c r="N39" s="191"/>
      <c r="O39" s="191"/>
      <c r="P39" s="191"/>
      <c r="Q39" s="191"/>
      <c r="R39" s="191"/>
      <c r="S39" s="191"/>
      <c r="T39" s="191"/>
      <c r="U39" s="191"/>
      <c r="V39" s="191"/>
      <c r="W39" s="191"/>
      <c r="X39" s="191"/>
      <c r="Y39" s="191"/>
    </row>
    <row r="40" spans="1:25" x14ac:dyDescent="0.2">
      <c r="A40" s="191"/>
      <c r="B40" s="284"/>
      <c r="C40" s="282"/>
      <c r="D40" s="282"/>
      <c r="E40" s="287"/>
      <c r="F40" s="287">
        <f>'Input data'!$C$5-1</f>
        <v>2023</v>
      </c>
      <c r="G40" s="287">
        <f>F40+1</f>
        <v>2024</v>
      </c>
      <c r="H40" s="287">
        <f t="shared" ref="H40:X40" si="1">G40+1</f>
        <v>2025</v>
      </c>
      <c r="I40" s="287">
        <f t="shared" si="1"/>
        <v>2026</v>
      </c>
      <c r="J40" s="287">
        <f t="shared" si="1"/>
        <v>2027</v>
      </c>
      <c r="K40" s="287">
        <f t="shared" si="1"/>
        <v>2028</v>
      </c>
      <c r="L40" s="287">
        <f t="shared" si="1"/>
        <v>2029</v>
      </c>
      <c r="M40" s="287">
        <f t="shared" si="1"/>
        <v>2030</v>
      </c>
      <c r="N40" s="287">
        <f t="shared" si="1"/>
        <v>2031</v>
      </c>
      <c r="O40" s="287">
        <f t="shared" si="1"/>
        <v>2032</v>
      </c>
      <c r="P40" s="287">
        <f t="shared" si="1"/>
        <v>2033</v>
      </c>
      <c r="Q40" s="287">
        <f t="shared" si="1"/>
        <v>2034</v>
      </c>
      <c r="R40" s="287">
        <f t="shared" si="1"/>
        <v>2035</v>
      </c>
      <c r="S40" s="287">
        <f t="shared" si="1"/>
        <v>2036</v>
      </c>
      <c r="T40" s="287">
        <f t="shared" si="1"/>
        <v>2037</v>
      </c>
      <c r="U40" s="287">
        <f t="shared" si="1"/>
        <v>2038</v>
      </c>
      <c r="V40" s="287">
        <f t="shared" si="1"/>
        <v>2039</v>
      </c>
      <c r="W40" s="287">
        <f t="shared" si="1"/>
        <v>2040</v>
      </c>
      <c r="X40" s="287">
        <f t="shared" si="1"/>
        <v>2041</v>
      </c>
      <c r="Y40" s="191"/>
    </row>
    <row r="41" spans="1:25" x14ac:dyDescent="0.2">
      <c r="A41" s="191"/>
      <c r="B41" s="284">
        <v>1</v>
      </c>
      <c r="C41" s="288" t="s">
        <v>147</v>
      </c>
      <c r="D41" s="289">
        <v>56</v>
      </c>
      <c r="E41" s="290" t="s">
        <v>148</v>
      </c>
      <c r="F41" s="277">
        <f ca="1">INDEX(OFFSET('Baseline NFPC'!$D$1:$W$1,$D41-1,0),MATCH(F$4,'Baseline NFPC'!$D$10:$W$10,0))</f>
        <v>37.344895037084065</v>
      </c>
      <c r="G41" s="277">
        <f ca="1">INDEX(OFFSET('Baseline NFPC'!$D$1:$W$1,$D41-1,0),MATCH(G$4,'Baseline NFPC'!$D$10:$W$10,0))</f>
        <v>38.25865969882279</v>
      </c>
      <c r="H41" s="277">
        <f ca="1">INDEX(OFFSET('Baseline NFPC'!$D$1:$W$1,$D41-1,0),MATCH(H$4,'Baseline NFPC'!$D$10:$W$10,0))</f>
        <v>41.169692284568775</v>
      </c>
      <c r="I41" s="277">
        <f ca="1">INDEX(OFFSET('Baseline NFPC'!$D$1:$W$1,$D41-1,0),MATCH(I$4,'Baseline NFPC'!$D$10:$W$10,0))</f>
        <v>44.898871305828173</v>
      </c>
      <c r="J41" s="277">
        <f ca="1">INDEX(OFFSET('Baseline NFPC'!$D$1:$W$1,$D41-1,0),MATCH(J$4,'Baseline NFPC'!$D$10:$W$10,0))</f>
        <v>45.56165516321952</v>
      </c>
      <c r="K41" s="277">
        <f ca="1">INDEX(OFFSET('Baseline NFPC'!$D$1:$W$1,$D41-1,0),MATCH(K$4,'Baseline NFPC'!$D$10:$W$10,0))</f>
        <v>46.372782012656685</v>
      </c>
      <c r="L41" s="277">
        <f ca="1">INDEX(OFFSET('Baseline NFPC'!$D$1:$W$1,$D41-1,0),MATCH(L$4,'Baseline NFPC'!$D$10:$W$10,0))</f>
        <v>47.189767122817699</v>
      </c>
      <c r="M41" s="277">
        <f ca="1">INDEX(OFFSET('Baseline NFPC'!$D$1:$W$1,$D41-1,0),MATCH(M$4,'Baseline NFPC'!$D$10:$W$10,0))</f>
        <v>48.464223941053035</v>
      </c>
      <c r="N41" s="277">
        <f ca="1">INDEX(OFFSET('Baseline NFPC'!$D$1:$W$1,$D41-1,0),MATCH(N$4,'Baseline NFPC'!$D$10:$W$10,0))</f>
        <v>49.968835390399406</v>
      </c>
      <c r="O41" s="277">
        <f ca="1">INDEX(OFFSET('Baseline NFPC'!$D$1:$W$1,$D41-1,0),MATCH(O$4,'Baseline NFPC'!$D$10:$W$10,0))</f>
        <v>51.710401238870752</v>
      </c>
      <c r="P41" s="277">
        <f ca="1">INDEX(OFFSET('Baseline NFPC'!$D$1:$W$1,$D41-1,0),MATCH(P$4,'Baseline NFPC'!$D$10:$W$10,0))</f>
        <v>53.665481620441966</v>
      </c>
      <c r="Q41" s="277">
        <f ca="1">INDEX(OFFSET('Baseline NFPC'!$D$1:$W$1,$D41-1,0),MATCH(Q$4,'Baseline NFPC'!$D$10:$W$10,0))</f>
        <v>55.781555770909513</v>
      </c>
      <c r="R41" s="277">
        <f ca="1">INDEX(OFFSET('Baseline NFPC'!$D$1:$W$1,$D41-1,0),MATCH(R$4,'Baseline NFPC'!$D$10:$W$10,0))</f>
        <v>58.13327288756998</v>
      </c>
      <c r="S41" s="277">
        <f ca="1">INDEX(OFFSET('Baseline NFPC'!$D$1:$W$1,$D41-1,0),MATCH(S$4,'Baseline NFPC'!$D$10:$W$10,0))</f>
        <v>60.699228545708458</v>
      </c>
      <c r="T41" s="277">
        <f ca="1">INDEX(OFFSET('Baseline NFPC'!$D$1:$W$1,$D41-1,0),MATCH(T$4,'Baseline NFPC'!$D$10:$W$10,0))</f>
        <v>63.440685448847447</v>
      </c>
      <c r="U41" s="277">
        <f ca="1">INDEX(OFFSET('Baseline NFPC'!$D$1:$W$1,$D41-1,0),MATCH(U$4,'Baseline NFPC'!$D$10:$W$10,0))</f>
        <v>66.369250960949017</v>
      </c>
      <c r="V41" s="277">
        <f ca="1">INDEX(OFFSET('Baseline NFPC'!$D$1:$W$1,$D41-1,0),MATCH(V$4,'Baseline NFPC'!$D$10:$W$10,0))</f>
        <v>69.497185659012246</v>
      </c>
      <c r="W41" s="277">
        <f ca="1">INDEX(OFFSET('Baseline NFPC'!$D$1:$W$1,$D41-1,0),MATCH(W$4,'Baseline NFPC'!$D$10:$W$10,0))</f>
        <v>72.826344790941533</v>
      </c>
      <c r="X41" s="277">
        <f ca="1">INDEX(OFFSET('Baseline NFPC'!$D$1:$W$1,$D41-1,0),MATCH(X$4,'Baseline NFPC'!$D$10:$W$10,0))</f>
        <v>76.35085437978654</v>
      </c>
      <c r="Y41" s="191"/>
    </row>
    <row r="42" spans="1:25" x14ac:dyDescent="0.2">
      <c r="A42" s="191"/>
      <c r="B42" s="284">
        <v>2</v>
      </c>
      <c r="C42" s="288" t="s">
        <v>149</v>
      </c>
      <c r="D42" s="289">
        <v>76</v>
      </c>
      <c r="E42" s="290" t="s">
        <v>148</v>
      </c>
      <c r="F42" s="277">
        <f ca="1">INDEX(OFFSET('Baseline NFPC'!$D$1:$W$1,$D42-1,0),MATCH(F$4,'Baseline NFPC'!$D$10:$W$10,0))</f>
        <v>-0.69003439322329896</v>
      </c>
      <c r="G42" s="277">
        <f ca="1">INDEX(OFFSET('Baseline NFPC'!$D$1:$W$1,$D42-1,0),MATCH(G$4,'Baseline NFPC'!$D$10:$W$10,0))</f>
        <v>-2.0349233950924699</v>
      </c>
      <c r="H42" s="277">
        <f ca="1">INDEX(OFFSET('Baseline NFPC'!$D$1:$W$1,$D42-1,0),MATCH(H$4,'Baseline NFPC'!$D$10:$W$10,0))</f>
        <v>-2.4489585030753447</v>
      </c>
      <c r="I42" s="277">
        <f ca="1">INDEX(OFFSET('Baseline NFPC'!$D$1:$W$1,$D42-1,0),MATCH(I$4,'Baseline NFPC'!$D$10:$W$10,0))</f>
        <v>-2.6441685824633074</v>
      </c>
      <c r="J42" s="277">
        <f ca="1">INDEX(OFFSET('Baseline NFPC'!$D$1:$W$1,$D42-1,0),MATCH(J$4,'Baseline NFPC'!$D$10:$W$10,0))</f>
        <v>-2.7541764312262043</v>
      </c>
      <c r="K42" s="277">
        <f ca="1">INDEX(OFFSET('Baseline NFPC'!$D$1:$W$1,$D42-1,0),MATCH(K$4,'Baseline NFPC'!$D$10:$W$10,0))</f>
        <v>-2.7972585463353963</v>
      </c>
      <c r="L42" s="277">
        <f ca="1">INDEX(OFFSET('Baseline NFPC'!$D$1:$W$1,$D42-1,0),MATCH(L$4,'Baseline NFPC'!$D$10:$W$10,0))</f>
        <v>-2.8428952902686859</v>
      </c>
      <c r="M42" s="277">
        <f ca="1">INDEX(OFFSET('Baseline NFPC'!$D$1:$W$1,$D42-1,0),MATCH(M$4,'Baseline NFPC'!$D$10:$W$10,0))</f>
        <v>-3.0871775486406099</v>
      </c>
      <c r="N42" s="277">
        <f ca="1">INDEX(OFFSET('Baseline NFPC'!$D$1:$W$1,$D42-1,0),MATCH(N$4,'Baseline NFPC'!$D$10:$W$10,0))</f>
        <v>-3.3497152564713981</v>
      </c>
      <c r="O42" s="277">
        <f ca="1">INDEX(OFFSET('Baseline NFPC'!$D$1:$W$1,$D42-1,0),MATCH(O$4,'Baseline NFPC'!$D$10:$W$10,0))</f>
        <v>-3.6282809363249218</v>
      </c>
      <c r="P42" s="277">
        <f ca="1">INDEX(OFFSET('Baseline NFPC'!$D$1:$W$1,$D42-1,0),MATCH(P$4,'Baseline NFPC'!$D$10:$W$10,0))</f>
        <v>-3.9148218244472313</v>
      </c>
      <c r="Q42" s="277">
        <f ca="1">INDEX(OFFSET('Baseline NFPC'!$D$1:$W$1,$D42-1,0),MATCH(Q$4,'Baseline NFPC'!$D$10:$W$10,0))</f>
        <v>-4.1848660450160207</v>
      </c>
      <c r="R42" s="277">
        <f ca="1">INDEX(OFFSET('Baseline NFPC'!$D$1:$W$1,$D42-1,0),MATCH(R$4,'Baseline NFPC'!$D$10:$W$10,0))</f>
        <v>-4.4628794689385272</v>
      </c>
      <c r="S42" s="277">
        <f ca="1">INDEX(OFFSET('Baseline NFPC'!$D$1:$W$1,$D42-1,0),MATCH(S$4,'Baseline NFPC'!$D$10:$W$10,0))</f>
        <v>-4.7252188941828628</v>
      </c>
      <c r="T42" s="277">
        <f ca="1">INDEX(OFFSET('Baseline NFPC'!$D$1:$W$1,$D42-1,0),MATCH(T$4,'Baseline NFPC'!$D$10:$W$10,0))</f>
        <v>-4.9532652930320307</v>
      </c>
      <c r="U42" s="277">
        <f ca="1">INDEX(OFFSET('Baseline NFPC'!$D$1:$W$1,$D42-1,0),MATCH(U$4,'Baseline NFPC'!$D$10:$W$10,0))</f>
        <v>-5.1817756271314259</v>
      </c>
      <c r="V42" s="277">
        <f ca="1">INDEX(OFFSET('Baseline NFPC'!$D$1:$W$1,$D42-1,0),MATCH(V$4,'Baseline NFPC'!$D$10:$W$10,0))</f>
        <v>-5.4152943199936399</v>
      </c>
      <c r="W42" s="277">
        <f ca="1">INDEX(OFFSET('Baseline NFPC'!$D$1:$W$1,$D42-1,0),MATCH(W$4,'Baseline NFPC'!$D$10:$W$10,0))</f>
        <v>-5.6394331300202909</v>
      </c>
      <c r="X42" s="277">
        <f ca="1">INDEX(OFFSET('Baseline NFPC'!$D$1:$W$1,$D42-1,0),MATCH(X$4,'Baseline NFPC'!$D$10:$W$10,0))</f>
        <v>-5.8836732209899774</v>
      </c>
      <c r="Y42" s="191"/>
    </row>
    <row r="43" spans="1:25" x14ac:dyDescent="0.2">
      <c r="A43" s="191"/>
      <c r="B43" s="284">
        <v>3</v>
      </c>
      <c r="C43" s="288" t="s">
        <v>18</v>
      </c>
      <c r="D43" s="289">
        <v>12</v>
      </c>
      <c r="E43" s="290" t="s">
        <v>150</v>
      </c>
      <c r="F43" s="277">
        <f ca="1">INDEX(OFFSET('Baseline NFPC'!$D$1:$W$1,$D43-1,0),MATCH(F$4,'Baseline NFPC'!$D$10:$W$10,0))</f>
        <v>0.7080978</v>
      </c>
      <c r="G43" s="277">
        <f ca="1">INDEX(OFFSET('Baseline NFPC'!$D$1:$W$1,$D43-1,0),MATCH(G$4,'Baseline NFPC'!$D$10:$W$10,0))</f>
        <v>-0.36979909999999999</v>
      </c>
      <c r="H43" s="277">
        <f ca="1">INDEX(OFFSET('Baseline NFPC'!$D$1:$W$1,$D43-1,0),MATCH(H$4,'Baseline NFPC'!$D$10:$W$10,0))</f>
        <v>-0.36979909999999999</v>
      </c>
      <c r="I43" s="277">
        <f ca="1">INDEX(OFFSET('Baseline NFPC'!$D$1:$W$1,$D43-1,0),MATCH(I$4,'Baseline NFPC'!$D$10:$W$10,0))</f>
        <v>-0.36979909999999999</v>
      </c>
      <c r="J43" s="277">
        <f ca="1">INDEX(OFFSET('Baseline NFPC'!$D$1:$W$1,$D43-1,0),MATCH(J$4,'Baseline NFPC'!$D$10:$W$10,0))</f>
        <v>-0.36979909999999999</v>
      </c>
      <c r="K43" s="277">
        <f ca="1">INDEX(OFFSET('Baseline NFPC'!$D$1:$W$1,$D43-1,0),MATCH(K$4,'Baseline NFPC'!$D$10:$W$10,0))</f>
        <v>-0.36979909999999999</v>
      </c>
      <c r="L43" s="277">
        <f ca="1">INDEX(OFFSET('Baseline NFPC'!$D$1:$W$1,$D43-1,0),MATCH(L$4,'Baseline NFPC'!$D$10:$W$10,0))</f>
        <v>-0.36979909999999999</v>
      </c>
      <c r="M43" s="277">
        <f ca="1">INDEX(OFFSET('Baseline NFPC'!$D$1:$W$1,$D43-1,0),MATCH(M$4,'Baseline NFPC'!$D$10:$W$10,0))</f>
        <v>-0.36979909999999999</v>
      </c>
      <c r="N43" s="277">
        <f ca="1">INDEX(OFFSET('Baseline NFPC'!$D$1:$W$1,$D43-1,0),MATCH(N$4,'Baseline NFPC'!$D$10:$W$10,0))</f>
        <v>-0.36979909999999999</v>
      </c>
      <c r="O43" s="277">
        <f ca="1">INDEX(OFFSET('Baseline NFPC'!$D$1:$W$1,$D43-1,0),MATCH(O$4,'Baseline NFPC'!$D$10:$W$10,0))</f>
        <v>-0.36979909999999999</v>
      </c>
      <c r="P43" s="277">
        <f ca="1">INDEX(OFFSET('Baseline NFPC'!$D$1:$W$1,$D43-1,0),MATCH(P$4,'Baseline NFPC'!$D$10:$W$10,0))</f>
        <v>-0.36979909999999999</v>
      </c>
      <c r="Q43" s="277">
        <f ca="1">INDEX(OFFSET('Baseline NFPC'!$D$1:$W$1,$D43-1,0),MATCH(Q$4,'Baseline NFPC'!$D$10:$W$10,0))</f>
        <v>-0.36979909999999999</v>
      </c>
      <c r="R43" s="277">
        <f ca="1">INDEX(OFFSET('Baseline NFPC'!$D$1:$W$1,$D43-1,0),MATCH(R$4,'Baseline NFPC'!$D$10:$W$10,0))</f>
        <v>-0.36979909999999999</v>
      </c>
      <c r="S43" s="277">
        <f ca="1">INDEX(OFFSET('Baseline NFPC'!$D$1:$W$1,$D43-1,0),MATCH(S$4,'Baseline NFPC'!$D$10:$W$10,0))</f>
        <v>-0.36979909999999999</v>
      </c>
      <c r="T43" s="277">
        <f ca="1">INDEX(OFFSET('Baseline NFPC'!$D$1:$W$1,$D43-1,0),MATCH(T$4,'Baseline NFPC'!$D$10:$W$10,0))</f>
        <v>-0.36979909999999999</v>
      </c>
      <c r="U43" s="277">
        <f ca="1">INDEX(OFFSET('Baseline NFPC'!$D$1:$W$1,$D43-1,0),MATCH(U$4,'Baseline NFPC'!$D$10:$W$10,0))</f>
        <v>-0.36979909999999999</v>
      </c>
      <c r="V43" s="277">
        <f ca="1">INDEX(OFFSET('Baseline NFPC'!$D$1:$W$1,$D43-1,0),MATCH(V$4,'Baseline NFPC'!$D$10:$W$10,0))</f>
        <v>-0.36979909999999999</v>
      </c>
      <c r="W43" s="277">
        <f ca="1">INDEX(OFFSET('Baseline NFPC'!$D$1:$W$1,$D43-1,0),MATCH(W$4,'Baseline NFPC'!$D$10:$W$10,0))</f>
        <v>-0.36979909999999999</v>
      </c>
      <c r="X43" s="277">
        <f ca="1">INDEX(OFFSET('Baseline NFPC'!$D$1:$W$1,$D43-1,0),MATCH(X$4,'Baseline NFPC'!$D$10:$W$10,0))</f>
        <v>-0.36979909999999999</v>
      </c>
      <c r="Y43" s="191"/>
    </row>
    <row r="44" spans="1:25" x14ac:dyDescent="0.2">
      <c r="A44" s="191"/>
      <c r="B44" s="284">
        <v>4</v>
      </c>
      <c r="C44" s="288" t="s">
        <v>151</v>
      </c>
      <c r="D44" s="289">
        <v>61</v>
      </c>
      <c r="E44" s="290" t="s">
        <v>150</v>
      </c>
      <c r="F44" s="277">
        <f ca="1">INDEX(OFFSET('Baseline NFPC'!$D$1:$W$1,$D44-1,0),MATCH(F$4,'Baseline NFPC'!$D$10:$W$10,0))</f>
        <v>0.81013486992259998</v>
      </c>
      <c r="G44" s="277">
        <f ca="1">INDEX(OFFSET('Baseline NFPC'!$D$1:$W$1,$D44-1,0),MATCH(G$4,'Baseline NFPC'!$D$10:$W$10,0))</f>
        <v>0.88576236173872713</v>
      </c>
      <c r="H44" s="277">
        <f ca="1">INDEX(OFFSET('Baseline NFPC'!$D$1:$W$1,$D44-1,0),MATCH(H$4,'Baseline NFPC'!$D$10:$W$10,0))</f>
        <v>0.81115718574598361</v>
      </c>
      <c r="I44" s="277">
        <f ca="1">INDEX(OFFSET('Baseline NFPC'!$D$1:$W$1,$D44-1,0),MATCH(I$4,'Baseline NFPC'!$D$10:$W$10,0))</f>
        <v>0.54864851751738741</v>
      </c>
      <c r="J44" s="277">
        <f ca="1">INDEX(OFFSET('Baseline NFPC'!$D$1:$W$1,$D44-1,0),MATCH(J$4,'Baseline NFPC'!$D$10:$W$10,0))</f>
        <v>0.36576387337997956</v>
      </c>
      <c r="K44" s="277">
        <f ca="1">INDEX(OFFSET('Baseline NFPC'!$D$1:$W$1,$D44-1,0),MATCH(K$4,'Baseline NFPC'!$D$10:$W$10,0))</f>
        <v>0.18288021127056769</v>
      </c>
      <c r="L44" s="277">
        <f ca="1">INDEX(OFFSET('Baseline NFPC'!$D$1:$W$1,$D44-1,0),MATCH(L$4,'Baseline NFPC'!$D$10:$W$10,0))</f>
        <v>-5.8447298257879865E-6</v>
      </c>
      <c r="M44" s="277">
        <f ca="1">INDEX(OFFSET('Baseline NFPC'!$D$1:$W$1,$D44-1,0),MATCH(M$4,'Baseline NFPC'!$D$10:$W$10,0))</f>
        <v>-5.4523229414016329E-6</v>
      </c>
      <c r="N44" s="277">
        <f ca="1">INDEX(OFFSET('Baseline NFPC'!$D$1:$W$1,$D44-1,0),MATCH(N$4,'Baseline NFPC'!$D$10:$W$10,0))</f>
        <v>-4.2744717076548254E-6</v>
      </c>
      <c r="O44" s="277">
        <f ca="1">INDEX(OFFSET('Baseline NFPC'!$D$1:$W$1,$D44-1,0),MATCH(O$4,'Baseline NFPC'!$D$10:$W$10,0))</f>
        <v>-4.6672874705055989E-6</v>
      </c>
      <c r="P44" s="277">
        <f ca="1">INDEX(OFFSET('Baseline NFPC'!$D$1:$W$1,$D44-1,0),MATCH(P$4,'Baseline NFPC'!$D$10:$W$10,0))</f>
        <v>-5.8457746891837917E-6</v>
      </c>
      <c r="Q44" s="277">
        <f ca="1">INDEX(OFFSET('Baseline NFPC'!$D$1:$W$1,$D44-1,0),MATCH(Q$4,'Baseline NFPC'!$D$10:$W$10,0))</f>
        <v>-5.4531409552582849E-6</v>
      </c>
      <c r="R44" s="277">
        <f ca="1">INDEX(OFFSET('Baseline NFPC'!$D$1:$W$1,$D44-1,0),MATCH(R$4,'Baseline NFPC'!$D$10:$W$10,0))</f>
        <v>-5.0602873974403551E-6</v>
      </c>
      <c r="S44" s="277">
        <f ca="1">INDEX(OFFSET('Baseline NFPC'!$D$1:$W$1,$D44-1,0),MATCH(S$4,'Baseline NFPC'!$D$10:$W$10,0))</f>
        <v>-5.0602873974403551E-6</v>
      </c>
      <c r="T44" s="277">
        <f ca="1">INDEX(OFFSET('Baseline NFPC'!$D$1:$W$1,$D44-1,0),MATCH(T$4,'Baseline NFPC'!$D$10:$W$10,0))</f>
        <v>-4.6669934564924636E-6</v>
      </c>
      <c r="U44" s="277">
        <f ca="1">INDEX(OFFSET('Baseline NFPC'!$D$1:$W$1,$D44-1,0),MATCH(U$4,'Baseline NFPC'!$D$10:$W$10,0))</f>
        <v>-5.4541993560919268E-6</v>
      </c>
      <c r="V44" s="277">
        <f ca="1">INDEX(OFFSET('Baseline NFPC'!$D$1:$W$1,$D44-1,0),MATCH(V$4,'Baseline NFPC'!$D$10:$W$10,0))</f>
        <v>-4.2723040608594332E-6</v>
      </c>
      <c r="W44" s="277">
        <f ca="1">INDEX(OFFSET('Baseline NFPC'!$D$1:$W$1,$D44-1,0),MATCH(W$4,'Baseline NFPC'!$D$10:$W$10,0))</f>
        <v>-4.2723040519998539E-6</v>
      </c>
      <c r="X44" s="277">
        <f ca="1">INDEX(OFFSET('Baseline NFPC'!$D$1:$W$1,$D44-1,0),MATCH(X$4,'Baseline NFPC'!$D$10:$W$10,0))</f>
        <v>-4.2723040608594332E-6</v>
      </c>
      <c r="Y44" s="191"/>
    </row>
    <row r="45" spans="1:25" x14ac:dyDescent="0.2">
      <c r="A45" s="191"/>
      <c r="B45" s="284">
        <v>5</v>
      </c>
      <c r="C45" s="288" t="s">
        <v>153</v>
      </c>
      <c r="D45" s="289">
        <v>67</v>
      </c>
      <c r="E45" s="290" t="s">
        <v>148</v>
      </c>
      <c r="F45" s="277">
        <f ca="1">INDEX(OFFSET('Baseline NFPC'!$D$1:$W$1,$D45-1,0),MATCH(F$4,'Baseline NFPC'!$D$10:$W$10,0))</f>
        <v>0.59124962330069897</v>
      </c>
      <c r="G45" s="277">
        <f ca="1">INDEX(OFFSET('Baseline NFPC'!$D$1:$W$1,$D45-1,0),MATCH(G$4,'Baseline NFPC'!$D$10:$W$10,0))</f>
        <v>0.78192213335374294</v>
      </c>
      <c r="H45" s="277">
        <f ca="1">INDEX(OFFSET('Baseline NFPC'!$D$1:$W$1,$D45-1,0),MATCH(H$4,'Baseline NFPC'!$D$10:$W$10,0))</f>
        <v>0.91978291732935979</v>
      </c>
      <c r="I45" s="277">
        <f ca="1">INDEX(OFFSET('Baseline NFPC'!$D$1:$W$1,$D45-1,0),MATCH(I$4,'Baseline NFPC'!$D$10:$W$10,0))</f>
        <v>1.1336269649459174</v>
      </c>
      <c r="J45" s="277">
        <f ca="1">INDEX(OFFSET('Baseline NFPC'!$D$1:$W$1,$D45-1,0),MATCH(J$4,'Baseline NFPC'!$D$10:$W$10,0))</f>
        <v>1.267360057846223</v>
      </c>
      <c r="K45" s="277">
        <f ca="1">INDEX(OFFSET('Baseline NFPC'!$D$1:$W$1,$D45-1,0),MATCH(K$4,'Baseline NFPC'!$D$10:$W$10,0))</f>
        <v>1.312974735064826</v>
      </c>
      <c r="L45" s="277">
        <f ca="1">INDEX(OFFSET('Baseline NFPC'!$D$1:$W$1,$D45-1,0),MATCH(L$4,'Baseline NFPC'!$D$10:$W$10,0))</f>
        <v>1.3622563349985088</v>
      </c>
      <c r="M45" s="277">
        <f ca="1">INDEX(OFFSET('Baseline NFPC'!$D$1:$W$1,$D45-1,0),MATCH(M$4,'Baseline NFPC'!$D$10:$W$10,0))</f>
        <v>1.4228971009635512</v>
      </c>
      <c r="N45" s="277">
        <f ca="1">INDEX(OFFSET('Baseline NFPC'!$D$1:$W$1,$D45-1,0),MATCH(N$4,'Baseline NFPC'!$D$10:$W$10,0))</f>
        <v>1.4943325309431068</v>
      </c>
      <c r="O45" s="277">
        <f ca="1">INDEX(OFFSET('Baseline NFPC'!$D$1:$W$1,$D45-1,0),MATCH(O$4,'Baseline NFPC'!$D$10:$W$10,0))</f>
        <v>1.5771275036123935</v>
      </c>
      <c r="P45" s="277">
        <f ca="1">INDEX(OFFSET('Baseline NFPC'!$D$1:$W$1,$D45-1,0),MATCH(P$4,'Baseline NFPC'!$D$10:$W$10,0))</f>
        <v>1.6710983702219211</v>
      </c>
      <c r="Q45" s="277">
        <f ca="1">INDEX(OFFSET('Baseline NFPC'!$D$1:$W$1,$D45-1,0),MATCH(Q$4,'Baseline NFPC'!$D$10:$W$10,0))</f>
        <v>1.7755910981569774</v>
      </c>
      <c r="R45" s="277">
        <f ca="1">INDEX(OFFSET('Baseline NFPC'!$D$1:$W$1,$D45-1,0),MATCH(R$4,'Baseline NFPC'!$D$10:$W$10,0))</f>
        <v>1.8847930292259247</v>
      </c>
      <c r="S45" s="277">
        <f ca="1">INDEX(OFFSET('Baseline NFPC'!$D$1:$W$1,$D45-1,0),MATCH(S$4,'Baseline NFPC'!$D$10:$W$10,0))</f>
        <v>1.9998413544702616</v>
      </c>
      <c r="T45" s="277">
        <f ca="1">INDEX(OFFSET('Baseline NFPC'!$D$1:$W$1,$D45-1,0),MATCH(T$4,'Baseline NFPC'!$D$10:$W$10,0))</f>
        <v>2.1204061600254889</v>
      </c>
      <c r="U45" s="277">
        <f ca="1">INDEX(OFFSET('Baseline NFPC'!$D$1:$W$1,$D45-1,0),MATCH(U$4,'Baseline NFPC'!$D$10:$W$10,0))</f>
        <v>2.2459461813307819</v>
      </c>
      <c r="V45" s="277">
        <f ca="1">INDEX(OFFSET('Baseline NFPC'!$D$1:$W$1,$D45-1,0),MATCH(V$4,'Baseline NFPC'!$D$10:$W$10,0))</f>
        <v>2.377102692297699</v>
      </c>
      <c r="W45" s="277">
        <f ca="1">INDEX(OFFSET('Baseline NFPC'!$D$1:$W$1,$D45-1,0),MATCH(W$4,'Baseline NFPC'!$D$10:$W$10,0))</f>
        <v>2.5148103023243409</v>
      </c>
      <c r="X45" s="277">
        <f ca="1">INDEX(OFFSET('Baseline NFPC'!$D$1:$W$1,$D45-1,0),MATCH(X$4,'Baseline NFPC'!$D$10:$W$10,0))</f>
        <v>2.6580092932940382</v>
      </c>
      <c r="Y45" s="191"/>
    </row>
    <row r="46" spans="1:25" x14ac:dyDescent="0.2">
      <c r="A46" s="191"/>
      <c r="B46" s="284">
        <v>6</v>
      </c>
      <c r="C46" s="291" t="s">
        <v>63</v>
      </c>
      <c r="D46" s="289">
        <v>36</v>
      </c>
      <c r="E46" s="290" t="s">
        <v>154</v>
      </c>
      <c r="F46" s="277">
        <f ca="1">INDEX(OFFSET('Baseline NFPC'!$D$1:$W$1,$D46-1,0),MATCH(F$4,'Baseline NFPC'!$D$10:$W$10,0))</f>
        <v>2.88</v>
      </c>
      <c r="G46" s="277">
        <f ca="1">INDEX(OFFSET('Baseline NFPC'!$D$1:$W$1,$D46-1,0),MATCH(G$4,'Baseline NFPC'!$D$10:$W$10,0))</f>
        <v>3.4270849999999999</v>
      </c>
      <c r="H46" s="277">
        <f ca="1">INDEX(OFFSET('Baseline NFPC'!$D$1:$W$1,$D46-1,0),MATCH(H$4,'Baseline NFPC'!$D$10:$W$10,0))</f>
        <v>3.0076990000000001</v>
      </c>
      <c r="I46" s="277">
        <f ca="1">INDEX(OFFSET('Baseline NFPC'!$D$1:$W$1,$D46-1,0),MATCH(I$4,'Baseline NFPC'!$D$10:$W$10,0))</f>
        <v>3.1136879999999998</v>
      </c>
      <c r="J46" s="277">
        <f ca="1">INDEX(OFFSET('Baseline NFPC'!$D$1:$W$1,$D46-1,0),MATCH(J$4,'Baseline NFPC'!$D$10:$W$10,0))</f>
        <v>3.2113594999999999</v>
      </c>
      <c r="K46" s="277">
        <f ca="1">INDEX(OFFSET('Baseline NFPC'!$D$1:$W$1,$D46-1,0),MATCH(K$4,'Baseline NFPC'!$D$10:$W$10,0))</f>
        <v>3.3090310000000001</v>
      </c>
      <c r="L46" s="277">
        <f ca="1">INDEX(OFFSET('Baseline NFPC'!$D$1:$W$1,$D46-1,0),MATCH(L$4,'Baseline NFPC'!$D$10:$W$10,0))</f>
        <v>3.4067025000000002</v>
      </c>
      <c r="M46" s="277">
        <f ca="1">INDEX(OFFSET('Baseline NFPC'!$D$1:$W$1,$D46-1,0),MATCH(M$4,'Baseline NFPC'!$D$10:$W$10,0))</f>
        <v>3.5043740000000003</v>
      </c>
      <c r="N46" s="277">
        <f ca="1">INDEX(OFFSET('Baseline NFPC'!$D$1:$W$1,$D46-1,0),MATCH(N$4,'Baseline NFPC'!$D$10:$W$10,0))</f>
        <v>3.6020455000000005</v>
      </c>
      <c r="O46" s="277">
        <f ca="1">INDEX(OFFSET('Baseline NFPC'!$D$1:$W$1,$D46-1,0),MATCH(O$4,'Baseline NFPC'!$D$10:$W$10,0))</f>
        <v>3.6997170000000006</v>
      </c>
      <c r="P46" s="277">
        <f ca="1">INDEX(OFFSET('Baseline NFPC'!$D$1:$W$1,$D46-1,0),MATCH(P$4,'Baseline NFPC'!$D$10:$W$10,0))</f>
        <v>3.7973885000000007</v>
      </c>
      <c r="Q46" s="277">
        <f ca="1">INDEX(OFFSET('Baseline NFPC'!$D$1:$W$1,$D46-1,0),MATCH(Q$4,'Baseline NFPC'!$D$10:$W$10,0))</f>
        <v>3.89506</v>
      </c>
      <c r="R46" s="277">
        <f ca="1">INDEX(OFFSET('Baseline NFPC'!$D$1:$W$1,$D46-1,0),MATCH(R$4,'Baseline NFPC'!$D$10:$W$10,0))</f>
        <v>3.9003069999999997</v>
      </c>
      <c r="S46" s="277">
        <f ca="1">INDEX(OFFSET('Baseline NFPC'!$D$1:$W$1,$D46-1,0),MATCH(S$4,'Baseline NFPC'!$D$10:$W$10,0))</f>
        <v>3.905554</v>
      </c>
      <c r="T46" s="277">
        <f ca="1">INDEX(OFFSET('Baseline NFPC'!$D$1:$W$1,$D46-1,0),MATCH(T$4,'Baseline NFPC'!$D$10:$W$10,0))</f>
        <v>3.9108010000000002</v>
      </c>
      <c r="U46" s="277">
        <f ca="1">INDEX(OFFSET('Baseline NFPC'!$D$1:$W$1,$D46-1,0),MATCH(U$4,'Baseline NFPC'!$D$10:$W$10,0))</f>
        <v>3.916048</v>
      </c>
      <c r="V46" s="277">
        <f ca="1">INDEX(OFFSET('Baseline NFPC'!$D$1:$W$1,$D46-1,0),MATCH(V$4,'Baseline NFPC'!$D$10:$W$10,0))</f>
        <v>3.9212949999999998</v>
      </c>
      <c r="W46" s="277">
        <f ca="1">INDEX(OFFSET('Baseline NFPC'!$D$1:$W$1,$D46-1,0),MATCH(W$4,'Baseline NFPC'!$D$10:$W$10,0))</f>
        <v>3.926542</v>
      </c>
      <c r="X46" s="277">
        <f ca="1">INDEX(OFFSET('Baseline NFPC'!$D$1:$W$1,$D46-1,0),MATCH(X$4,'Baseline NFPC'!$D$10:$W$10,0))</f>
        <v>3.9317890000000002</v>
      </c>
      <c r="Y46" s="191"/>
    </row>
    <row r="47" spans="1:25" x14ac:dyDescent="0.2">
      <c r="A47" s="191"/>
      <c r="B47" s="284">
        <v>7</v>
      </c>
      <c r="C47" s="291" t="s">
        <v>64</v>
      </c>
      <c r="D47" s="289">
        <v>37</v>
      </c>
      <c r="E47" s="290" t="s">
        <v>154</v>
      </c>
      <c r="F47" s="277">
        <f ca="1">INDEX(OFFSET('Baseline NFPC'!$D$1:$W$1,$D47-1,0),MATCH(F$4,'Baseline NFPC'!$D$10:$W$10,0))</f>
        <v>3.43</v>
      </c>
      <c r="G47" s="277">
        <f ca="1">INDEX(OFFSET('Baseline NFPC'!$D$1:$W$1,$D47-1,0),MATCH(G$4,'Baseline NFPC'!$D$10:$W$10,0))</f>
        <v>3.5292500000000002</v>
      </c>
      <c r="H47" s="277">
        <f ca="1">INDEX(OFFSET('Baseline NFPC'!$D$1:$W$1,$D47-1,0),MATCH(H$4,'Baseline NFPC'!$D$10:$W$10,0))</f>
        <v>2.0662500000000001</v>
      </c>
      <c r="I47" s="277">
        <f ca="1">INDEX(OFFSET('Baseline NFPC'!$D$1:$W$1,$D47-1,0),MATCH(I$4,'Baseline NFPC'!$D$10:$W$10,0))</f>
        <v>1.9957499999999999</v>
      </c>
      <c r="J47" s="277">
        <f ca="1">INDEX(OFFSET('Baseline NFPC'!$D$1:$W$1,$D47-1,0),MATCH(J$4,'Baseline NFPC'!$D$10:$W$10,0))</f>
        <v>2.079285</v>
      </c>
      <c r="K47" s="277">
        <f ca="1">INDEX(OFFSET('Baseline NFPC'!$D$1:$W$1,$D47-1,0),MATCH(K$4,'Baseline NFPC'!$D$10:$W$10,0))</f>
        <v>2.16282</v>
      </c>
      <c r="L47" s="277">
        <f ca="1">INDEX(OFFSET('Baseline NFPC'!$D$1:$W$1,$D47-1,0),MATCH(L$4,'Baseline NFPC'!$D$10:$W$10,0))</f>
        <v>2.2463549999999999</v>
      </c>
      <c r="M47" s="277">
        <f ca="1">INDEX(OFFSET('Baseline NFPC'!$D$1:$W$1,$D47-1,0),MATCH(M$4,'Baseline NFPC'!$D$10:$W$10,0))</f>
        <v>2.3298899999999998</v>
      </c>
      <c r="N47" s="277">
        <f ca="1">INDEX(OFFSET('Baseline NFPC'!$D$1:$W$1,$D47-1,0),MATCH(N$4,'Baseline NFPC'!$D$10:$W$10,0))</f>
        <v>2.4134249999999997</v>
      </c>
      <c r="O47" s="277">
        <f ca="1">INDEX(OFFSET('Baseline NFPC'!$D$1:$W$1,$D47-1,0),MATCH(O$4,'Baseline NFPC'!$D$10:$W$10,0))</f>
        <v>2.4969599999999996</v>
      </c>
      <c r="P47" s="277">
        <f ca="1">INDEX(OFFSET('Baseline NFPC'!$D$1:$W$1,$D47-1,0),MATCH(P$4,'Baseline NFPC'!$D$10:$W$10,0))</f>
        <v>2.5804949999999995</v>
      </c>
      <c r="Q47" s="277">
        <f ca="1">INDEX(OFFSET('Baseline NFPC'!$D$1:$W$1,$D47-1,0),MATCH(Q$4,'Baseline NFPC'!$D$10:$W$10,0))</f>
        <v>2.6640299999999999</v>
      </c>
      <c r="R47" s="277">
        <f ca="1">INDEX(OFFSET('Baseline NFPC'!$D$1:$W$1,$D47-1,0),MATCH(R$4,'Baseline NFPC'!$D$10:$W$10,0))</f>
        <v>2.6308284999999998</v>
      </c>
      <c r="S47" s="277">
        <f ca="1">INDEX(OFFSET('Baseline NFPC'!$D$1:$W$1,$D47-1,0),MATCH(S$4,'Baseline NFPC'!$D$10:$W$10,0))</f>
        <v>2.5976270000000001</v>
      </c>
      <c r="T47" s="277">
        <f ca="1">INDEX(OFFSET('Baseline NFPC'!$D$1:$W$1,$D47-1,0),MATCH(T$4,'Baseline NFPC'!$D$10:$W$10,0))</f>
        <v>2.5644255</v>
      </c>
      <c r="U47" s="277">
        <f ca="1">INDEX(OFFSET('Baseline NFPC'!$D$1:$W$1,$D47-1,0),MATCH(U$4,'Baseline NFPC'!$D$10:$W$10,0))</f>
        <v>2.5312239999999999</v>
      </c>
      <c r="V47" s="277">
        <f ca="1">INDEX(OFFSET('Baseline NFPC'!$D$1:$W$1,$D47-1,0),MATCH(V$4,'Baseline NFPC'!$D$10:$W$10,0))</f>
        <v>2.4980224999999998</v>
      </c>
      <c r="W47" s="277">
        <f ca="1">INDEX(OFFSET('Baseline NFPC'!$D$1:$W$1,$D47-1,0),MATCH(W$4,'Baseline NFPC'!$D$10:$W$10,0))</f>
        <v>2.4648209999999997</v>
      </c>
      <c r="X47" s="277">
        <f ca="1">INDEX(OFFSET('Baseline NFPC'!$D$1:$W$1,$D47-1,0),MATCH(X$4,'Baseline NFPC'!$D$10:$W$10,0))</f>
        <v>2.4316195</v>
      </c>
      <c r="Y47" s="191"/>
    </row>
    <row r="48" spans="1:25" x14ac:dyDescent="0.2">
      <c r="A48" s="191"/>
      <c r="B48" s="284">
        <v>8</v>
      </c>
      <c r="C48" s="288" t="s">
        <v>155</v>
      </c>
      <c r="D48" s="289">
        <v>35</v>
      </c>
      <c r="E48" s="290" t="s">
        <v>154</v>
      </c>
      <c r="F48" s="277">
        <f ca="1">INDEX(OFFSET('Baseline NFPC'!$D$1:$W$1,$D48-1,0),MATCH(F$4,'Baseline NFPC'!$D$10:$W$10,0))</f>
        <v>1.699492</v>
      </c>
      <c r="G48" s="277">
        <f ca="1">INDEX(OFFSET('Baseline NFPC'!$D$1:$W$1,$D48-1,0),MATCH(G$4,'Baseline NFPC'!$D$10:$W$10,0))</f>
        <v>2.2164999999999999</v>
      </c>
      <c r="H48" s="277">
        <f ca="1">INDEX(OFFSET('Baseline NFPC'!$D$1:$W$1,$D48-1,0),MATCH(H$4,'Baseline NFPC'!$D$10:$W$10,0))</f>
        <v>2.5547230000000001</v>
      </c>
      <c r="I48" s="277">
        <f ca="1">INDEX(OFFSET('Baseline NFPC'!$D$1:$W$1,$D48-1,0),MATCH(I$4,'Baseline NFPC'!$D$10:$W$10,0))</f>
        <v>2.893256</v>
      </c>
      <c r="J48" s="277">
        <f ca="1">INDEX(OFFSET('Baseline NFPC'!$D$1:$W$1,$D48-1,0),MATCH(J$4,'Baseline NFPC'!$D$10:$W$10,0))</f>
        <v>2.9606043041704009</v>
      </c>
      <c r="K48" s="277">
        <f ca="1">INDEX(OFFSET('Baseline NFPC'!$D$1:$W$1,$D48-1,0),MATCH(K$4,'Baseline NFPC'!$D$10:$W$10,0))</f>
        <v>3.0131014629797841</v>
      </c>
      <c r="L48" s="277">
        <f ca="1">INDEX(OFFSET('Baseline NFPC'!$D$1:$W$1,$D48-1,0),MATCH(L$4,'Baseline NFPC'!$D$10:$W$10,0))</f>
        <v>3.0718205787824284</v>
      </c>
      <c r="M48" s="277">
        <f ca="1">INDEX(OFFSET('Baseline NFPC'!$D$1:$W$1,$D48-1,0),MATCH(M$4,'Baseline NFPC'!$D$10:$W$10,0))</f>
        <v>3.1357199599519898</v>
      </c>
      <c r="N48" s="277">
        <f ca="1">INDEX(OFFSET('Baseline NFPC'!$D$1:$W$1,$D48-1,0),MATCH(N$4,'Baseline NFPC'!$D$10:$W$10,0))</f>
        <v>3.2054069803337533</v>
      </c>
      <c r="O48" s="277">
        <f ca="1">INDEX(OFFSET('Baseline NFPC'!$D$1:$W$1,$D48-1,0),MATCH(O$4,'Baseline NFPC'!$D$10:$W$10,0))</f>
        <v>3.2800706243582374</v>
      </c>
      <c r="P48" s="277">
        <f ca="1">INDEX(OFFSET('Baseline NFPC'!$D$1:$W$1,$D48-1,0),MATCH(P$4,'Baseline NFPC'!$D$10:$W$10,0))</f>
        <v>3.3589471518053231</v>
      </c>
      <c r="Q48" s="277">
        <f ca="1">INDEX(OFFSET('Baseline NFPC'!$D$1:$W$1,$D48-1,0),MATCH(Q$4,'Baseline NFPC'!$D$10:$W$10,0))</f>
        <v>3.441288787303554</v>
      </c>
      <c r="R48" s="277">
        <f ca="1">INDEX(OFFSET('Baseline NFPC'!$D$1:$W$1,$D48-1,0),MATCH(R$4,'Baseline NFPC'!$D$10:$W$10,0))</f>
        <v>3.5117928324550469</v>
      </c>
      <c r="S48" s="277">
        <f ca="1">INDEX(OFFSET('Baseline NFPC'!$D$1:$W$1,$D48-1,0),MATCH(S$4,'Baseline NFPC'!$D$10:$W$10,0))</f>
        <v>3.5728034616790314</v>
      </c>
      <c r="T48" s="277">
        <f ca="1">INDEX(OFFSET('Baseline NFPC'!$D$1:$W$1,$D48-1,0),MATCH(T$4,'Baseline NFPC'!$D$10:$W$10,0))</f>
        <v>3.6254055220362731</v>
      </c>
      <c r="U48" s="277">
        <f ca="1">INDEX(OFFSET('Baseline NFPC'!$D$1:$W$1,$D48-1,0),MATCH(U$4,'Baseline NFPC'!$D$10:$W$10,0))</f>
        <v>3.6705978945489752</v>
      </c>
      <c r="V48" s="277">
        <f ca="1">INDEX(OFFSET('Baseline NFPC'!$D$1:$W$1,$D48-1,0),MATCH(V$4,'Baseline NFPC'!$D$10:$W$10,0))</f>
        <v>3.7094764880173141</v>
      </c>
      <c r="W48" s="277">
        <f ca="1">INDEX(OFFSET('Baseline NFPC'!$D$1:$W$1,$D48-1,0),MATCH(W$4,'Baseline NFPC'!$D$10:$W$10,0))</f>
        <v>3.7430062495149063</v>
      </c>
      <c r="X48" s="277">
        <f ca="1">INDEX(OFFSET('Baseline NFPC'!$D$1:$W$1,$D48-1,0),MATCH(X$4,'Baseline NFPC'!$D$10:$W$10,0))</f>
        <v>3.7719818638754132</v>
      </c>
      <c r="Y48" s="191"/>
    </row>
    <row r="49" spans="1:25" x14ac:dyDescent="0.2">
      <c r="A49" s="191"/>
      <c r="B49" s="284">
        <v>9</v>
      </c>
      <c r="C49" s="292" t="s">
        <v>40</v>
      </c>
      <c r="D49" s="289">
        <v>26</v>
      </c>
      <c r="E49" s="290" t="s">
        <v>157</v>
      </c>
      <c r="F49" s="277">
        <f ca="1">(INDEX(OFFSET('Baseline NFPC'!$D$1:$W$1,$D49-1,0),MATCH(F$4,'Baseline NFPC'!$D$10:$W$10,0))/INDEX(OFFSET('Baseline NFPC'!$D$1:$W$1,$D49-1,0),MATCH(E$4,'Baseline NFPC'!$D$10:$W$10,0))-1)*100</f>
        <v>3.3423690000000006</v>
      </c>
      <c r="G49" s="277">
        <f ca="1">(INDEX(OFFSET('Baseline NFPC'!$D$1:$W$1,$D49-1,0),MATCH(G$4,'Baseline NFPC'!$D$10:$W$10,0))/INDEX(OFFSET('Baseline NFPC'!$D$1:$W$1,$D49-1,0),MATCH(F$4,'Baseline NFPC'!$D$10:$W$10,0))-1)*100</f>
        <v>2.3658119999999894</v>
      </c>
      <c r="H49" s="277">
        <f ca="1">(INDEX(OFFSET('Baseline NFPC'!$D$1:$W$1,$D49-1,0),MATCH(H$4,'Baseline NFPC'!$D$10:$W$10,0))/INDEX(OFFSET('Baseline NFPC'!$D$1:$W$1,$D49-1,0),MATCH(G$4,'Baseline NFPC'!$D$10:$W$10,0))-1)*100</f>
        <v>2.5020129999999918</v>
      </c>
      <c r="I49" s="277">
        <f ca="1">(INDEX(OFFSET('Baseline NFPC'!$D$1:$W$1,$D49-1,0),MATCH(I$4,'Baseline NFPC'!$D$10:$W$10,0))/INDEX(OFFSET('Baseline NFPC'!$D$1:$W$1,$D49-1,0),MATCH(H$4,'Baseline NFPC'!$D$10:$W$10,0))-1)*100</f>
        <v>2.1233400000000069</v>
      </c>
      <c r="J49" s="277">
        <f ca="1">(INDEX(OFFSET('Baseline NFPC'!$D$1:$W$1,$D49-1,0),MATCH(J$4,'Baseline NFPC'!$D$10:$W$10,0))/INDEX(OFFSET('Baseline NFPC'!$D$1:$W$1,$D49-1,0),MATCH(I$4,'Baseline NFPC'!$D$10:$W$10,0))-1)*100</f>
        <v>2.1318940000000008</v>
      </c>
      <c r="K49" s="277">
        <f ca="1">(INDEX(OFFSET('Baseline NFPC'!$D$1:$W$1,$D49-1,0),MATCH(K$4,'Baseline NFPC'!$D$10:$W$10,0))/INDEX(OFFSET('Baseline NFPC'!$D$1:$W$1,$D49-1,0),MATCH(J$4,'Baseline NFPC'!$D$10:$W$10,0))-1)*100</f>
        <v>1.7966740000000092</v>
      </c>
      <c r="L49" s="277">
        <f ca="1">(INDEX(OFFSET('Baseline NFPC'!$D$1:$W$1,$D49-1,0),MATCH(L$4,'Baseline NFPC'!$D$10:$W$10,0))/INDEX(OFFSET('Baseline NFPC'!$D$1:$W$1,$D49-1,0),MATCH(K$4,'Baseline NFPC'!$D$10:$W$10,0))-1)*100</f>
        <v>1.7906430000000029</v>
      </c>
      <c r="M49" s="277">
        <f ca="1">(INDEX(OFFSET('Baseline NFPC'!$D$1:$W$1,$D49-1,0),MATCH(M$4,'Baseline NFPC'!$D$10:$W$10,0))/INDEX(OFFSET('Baseline NFPC'!$D$1:$W$1,$D49-1,0),MATCH(L$4,'Baseline NFPC'!$D$10:$W$10,0))-1)*100</f>
        <v>1.6801889999999986</v>
      </c>
      <c r="N49" s="277">
        <f ca="1">(INDEX(OFFSET('Baseline NFPC'!$D$1:$W$1,$D49-1,0),MATCH(N$4,'Baseline NFPC'!$D$10:$W$10,0))/INDEX(OFFSET('Baseline NFPC'!$D$1:$W$1,$D49-1,0),MATCH(M$4,'Baseline NFPC'!$D$10:$W$10,0))-1)*100</f>
        <v>1.6257509999999975</v>
      </c>
      <c r="O49" s="277">
        <f ca="1">(INDEX(OFFSET('Baseline NFPC'!$D$1:$W$1,$D49-1,0),MATCH(O$4,'Baseline NFPC'!$D$10:$W$10,0))/INDEX(OFFSET('Baseline NFPC'!$D$1:$W$1,$D49-1,0),MATCH(N$4,'Baseline NFPC'!$D$10:$W$10,0))-1)*100</f>
        <v>1.5743440000000053</v>
      </c>
      <c r="P49" s="277">
        <f ca="1">(INDEX(OFFSET('Baseline NFPC'!$D$1:$W$1,$D49-1,0),MATCH(P$4,'Baseline NFPC'!$D$10:$W$10,0))/INDEX(OFFSET('Baseline NFPC'!$D$1:$W$1,$D49-1,0),MATCH(O$4,'Baseline NFPC'!$D$10:$W$10,0))-1)*100</f>
        <v>1.5709060000000052</v>
      </c>
      <c r="Q49" s="277">
        <f ca="1">(INDEX(OFFSET('Baseline NFPC'!$D$1:$W$1,$D49-1,0),MATCH(Q$4,'Baseline NFPC'!$D$10:$W$10,0))/INDEX(OFFSET('Baseline NFPC'!$D$1:$W$1,$D49-1,0),MATCH(P$4,'Baseline NFPC'!$D$10:$W$10,0))-1)*100</f>
        <v>1.6214409999999901</v>
      </c>
      <c r="R49" s="277">
        <f ca="1">(INDEX(OFFSET('Baseline NFPC'!$D$1:$W$1,$D49-1,0),MATCH(R$4,'Baseline NFPC'!$D$10:$W$10,0))/INDEX(OFFSET('Baseline NFPC'!$D$1:$W$1,$D49-1,0),MATCH(Q$4,'Baseline NFPC'!$D$10:$W$10,0))-1)*100</f>
        <v>1.5645769999999892</v>
      </c>
      <c r="S49" s="277">
        <f ca="1">(INDEX(OFFSET('Baseline NFPC'!$D$1:$W$1,$D49-1,0),MATCH(S$4,'Baseline NFPC'!$D$10:$W$10,0))/INDEX(OFFSET('Baseline NFPC'!$D$1:$W$1,$D49-1,0),MATCH(R$4,'Baseline NFPC'!$D$10:$W$10,0))-1)*100</f>
        <v>1.5077140000000044</v>
      </c>
      <c r="T49" s="277">
        <f ca="1">(INDEX(OFFSET('Baseline NFPC'!$D$1:$W$1,$D49-1,0),MATCH(T$4,'Baseline NFPC'!$D$10:$W$10,0))/INDEX(OFFSET('Baseline NFPC'!$D$1:$W$1,$D49-1,0),MATCH(S$4,'Baseline NFPC'!$D$10:$W$10,0))-1)*100</f>
        <v>1.4508500000000035</v>
      </c>
      <c r="U49" s="277">
        <f ca="1">(INDEX(OFFSET('Baseline NFPC'!$D$1:$W$1,$D49-1,0),MATCH(U$4,'Baseline NFPC'!$D$10:$W$10,0))/INDEX(OFFSET('Baseline NFPC'!$D$1:$W$1,$D49-1,0),MATCH(T$4,'Baseline NFPC'!$D$10:$W$10,0))-1)*100</f>
        <v>1.3712039999999925</v>
      </c>
      <c r="V49" s="277">
        <f ca="1">(INDEX(OFFSET('Baseline NFPC'!$D$1:$W$1,$D49-1,0),MATCH(V$4,'Baseline NFPC'!$D$10:$W$10,0))/INDEX(OFFSET('Baseline NFPC'!$D$1:$W$1,$D49-1,0),MATCH(U$4,'Baseline NFPC'!$D$10:$W$10,0))-1)*100</f>
        <v>1.2780199999999908</v>
      </c>
      <c r="W49" s="277">
        <f ca="1">(INDEX(OFFSET('Baseline NFPC'!$D$1:$W$1,$D49-1,0),MATCH(W$4,'Baseline NFPC'!$D$10:$W$10,0))/INDEX(OFFSET('Baseline NFPC'!$D$1:$W$1,$D49-1,0),MATCH(V$4,'Baseline NFPC'!$D$10:$W$10,0))-1)*100</f>
        <v>1.1673700000000009</v>
      </c>
      <c r="X49" s="277">
        <f ca="1">(INDEX(OFFSET('Baseline NFPC'!$D$1:$W$1,$D49-1,0),MATCH(X$4,'Baseline NFPC'!$D$10:$W$10,0))/INDEX(OFFSET('Baseline NFPC'!$D$1:$W$1,$D49-1,0),MATCH(W$4,'Baseline NFPC'!$D$10:$W$10,0))-1)*100</f>
        <v>1.0959769999999924</v>
      </c>
      <c r="Y49" s="191"/>
    </row>
    <row r="50" spans="1:25" x14ac:dyDescent="0.2">
      <c r="A50" s="191"/>
      <c r="B50" s="284">
        <v>10</v>
      </c>
      <c r="C50" s="280" t="s">
        <v>158</v>
      </c>
      <c r="D50" s="289">
        <v>23</v>
      </c>
      <c r="E50" s="290" t="s">
        <v>157</v>
      </c>
      <c r="F50" s="277">
        <f ca="1">INDEX(OFFSET('Baseline NFPC'!$D$1:$W$1,$D50-1,0),MATCH(F$4,'Baseline NFPC'!$D$10:$W$10,0))</f>
        <v>0.34227229999999997</v>
      </c>
      <c r="G50" s="277">
        <f ca="1">INDEX(OFFSET('Baseline NFPC'!$D$1:$W$1,$D50-1,0),MATCH(G$4,'Baseline NFPC'!$D$10:$W$10,0))</f>
        <v>2.167764</v>
      </c>
      <c r="H50" s="277">
        <f ca="1">INDEX(OFFSET('Baseline NFPC'!$D$1:$W$1,$D50-1,0),MATCH(H$4,'Baseline NFPC'!$D$10:$W$10,0))</f>
        <v>2.6980230000000001</v>
      </c>
      <c r="I50" s="277">
        <f ca="1">INDEX(OFFSET('Baseline NFPC'!$D$1:$W$1,$D50-1,0),MATCH(I$4,'Baseline NFPC'!$D$10:$W$10,0))</f>
        <v>2.8091689999999998</v>
      </c>
      <c r="J50" s="277">
        <f ca="1">INDEX(OFFSET('Baseline NFPC'!$D$1:$W$1,$D50-1,0),MATCH(J$4,'Baseline NFPC'!$D$10:$W$10,0))</f>
        <v>2.6065499999999999</v>
      </c>
      <c r="K50" s="277">
        <f ca="1">INDEX(OFFSET('Baseline NFPC'!$D$1:$W$1,$D50-1,0),MATCH(K$4,'Baseline NFPC'!$D$10:$W$10,0))</f>
        <v>2.2675809999999998</v>
      </c>
      <c r="L50" s="277">
        <f ca="1">INDEX(OFFSET('Baseline NFPC'!$D$1:$W$1,$D50-1,0),MATCH(L$4,'Baseline NFPC'!$D$10:$W$10,0))</f>
        <v>2.25936</v>
      </c>
      <c r="M50" s="277">
        <f ca="1">INDEX(OFFSET('Baseline NFPC'!$D$1:$W$1,$D50-1,0),MATCH(M$4,'Baseline NFPC'!$D$10:$W$10,0))</f>
        <v>1.680188</v>
      </c>
      <c r="N50" s="277">
        <f ca="1">INDEX(OFFSET('Baseline NFPC'!$D$1:$W$1,$D50-1,0),MATCH(N$4,'Baseline NFPC'!$D$10:$W$10,0))</f>
        <v>1.625748</v>
      </c>
      <c r="O50" s="277">
        <f ca="1">INDEX(OFFSET('Baseline NFPC'!$D$1:$W$1,$D50-1,0),MATCH(O$4,'Baseline NFPC'!$D$10:$W$10,0))</f>
        <v>1.5743450000000001</v>
      </c>
      <c r="P50" s="277">
        <f ca="1">INDEX(OFFSET('Baseline NFPC'!$D$1:$W$1,$D50-1,0),MATCH(P$4,'Baseline NFPC'!$D$10:$W$10,0))</f>
        <v>1.5709090000000001</v>
      </c>
      <c r="Q50" s="277">
        <f ca="1">INDEX(OFFSET('Baseline NFPC'!$D$1:$W$1,$D50-1,0),MATCH(Q$4,'Baseline NFPC'!$D$10:$W$10,0))</f>
        <v>1.62144</v>
      </c>
      <c r="R50" s="277">
        <f ca="1">INDEX(OFFSET('Baseline NFPC'!$D$1:$W$1,$D50-1,0),MATCH(R$4,'Baseline NFPC'!$D$10:$W$10,0))</f>
        <v>1.564576</v>
      </c>
      <c r="S50" s="277">
        <f ca="1">INDEX(OFFSET('Baseline NFPC'!$D$1:$W$1,$D50-1,0),MATCH(S$4,'Baseline NFPC'!$D$10:$W$10,0))</f>
        <v>1.507714</v>
      </c>
      <c r="T50" s="277">
        <f ca="1">INDEX(OFFSET('Baseline NFPC'!$D$1:$W$1,$D50-1,0),MATCH(T$4,'Baseline NFPC'!$D$10:$W$10,0))</f>
        <v>1.4508490000000001</v>
      </c>
      <c r="U50" s="277">
        <f ca="1">INDEX(OFFSET('Baseline NFPC'!$D$1:$W$1,$D50-1,0),MATCH(U$4,'Baseline NFPC'!$D$10:$W$10,0))</f>
        <v>1.3712059999999999</v>
      </c>
      <c r="V50" s="277">
        <f ca="1">INDEX(OFFSET('Baseline NFPC'!$D$1:$W$1,$D50-1,0),MATCH(V$4,'Baseline NFPC'!$D$10:$W$10,0))</f>
        <v>1.278017</v>
      </c>
      <c r="W50" s="277">
        <f ca="1">INDEX(OFFSET('Baseline NFPC'!$D$1:$W$1,$D50-1,0),MATCH(W$4,'Baseline NFPC'!$D$10:$W$10,0))</f>
        <v>1.16737</v>
      </c>
      <c r="X50" s="277">
        <f ca="1">INDEX(OFFSET('Baseline NFPC'!$D$1:$W$1,$D50-1,0),MATCH(X$4,'Baseline NFPC'!$D$10:$W$10,0))</f>
        <v>1.095977</v>
      </c>
      <c r="Y50" s="191"/>
    </row>
    <row r="51" spans="1:25" x14ac:dyDescent="0.2">
      <c r="A51" s="191"/>
      <c r="B51" s="284">
        <v>11</v>
      </c>
      <c r="C51" s="293" t="s">
        <v>159</v>
      </c>
      <c r="D51" s="289">
        <v>41</v>
      </c>
      <c r="E51" s="290" t="s">
        <v>157</v>
      </c>
      <c r="F51" s="277">
        <f ca="1">INDEX(OFFSET('Baseline NFPC'!$D$1:$W$1,$D51-1,0),MATCH(F$4,'Baseline NFPC'!$D$10:$W$10,0))</f>
        <v>9.0217489999999998</v>
      </c>
      <c r="G51" s="277">
        <f ca="1">INDEX(OFFSET('Baseline NFPC'!$D$1:$W$1,$D51-1,0),MATCH(G$4,'Baseline NFPC'!$D$10:$W$10,0))</f>
        <v>3.6147499999999999</v>
      </c>
      <c r="H51" s="277">
        <f ca="1">INDEX(OFFSET('Baseline NFPC'!$D$1:$W$1,$D51-1,0),MATCH(H$4,'Baseline NFPC'!$D$10:$W$10,0))</f>
        <v>3.4727869999999998</v>
      </c>
      <c r="I51" s="277">
        <f ca="1">INDEX(OFFSET('Baseline NFPC'!$D$1:$W$1,$D51-1,0),MATCH(I$4,'Baseline NFPC'!$D$10:$W$10,0))</f>
        <v>2.2027230000000002</v>
      </c>
      <c r="J51" s="277">
        <f ca="1">INDEX(OFFSET('Baseline NFPC'!$D$1:$W$1,$D51-1,0),MATCH(J$4,'Baseline NFPC'!$D$10:$W$10,0))</f>
        <v>2.2211326250000001</v>
      </c>
      <c r="K51" s="277">
        <f ca="1">INDEX(OFFSET('Baseline NFPC'!$D$1:$W$1,$D51-1,0),MATCH(K$4,'Baseline NFPC'!$D$10:$W$10,0))</f>
        <v>2.2395422500000004</v>
      </c>
      <c r="L51" s="277">
        <f ca="1">INDEX(OFFSET('Baseline NFPC'!$D$1:$W$1,$D51-1,0),MATCH(L$4,'Baseline NFPC'!$D$10:$W$10,0))</f>
        <v>2.2579518750000003</v>
      </c>
      <c r="M51" s="277">
        <f ca="1">INDEX(OFFSET('Baseline NFPC'!$D$1:$W$1,$D51-1,0),MATCH(M$4,'Baseline NFPC'!$D$10:$W$10,0))</f>
        <v>2.2763615000000001</v>
      </c>
      <c r="N51" s="277">
        <f ca="1">INDEX(OFFSET('Baseline NFPC'!$D$1:$W$1,$D51-1,0),MATCH(N$4,'Baseline NFPC'!$D$10:$W$10,0))</f>
        <v>2.294771125</v>
      </c>
      <c r="O51" s="277">
        <f ca="1">INDEX(OFFSET('Baseline NFPC'!$D$1:$W$1,$D51-1,0),MATCH(O$4,'Baseline NFPC'!$D$10:$W$10,0))</f>
        <v>2.3131807499999999</v>
      </c>
      <c r="P51" s="277">
        <f ca="1">INDEX(OFFSET('Baseline NFPC'!$D$1:$W$1,$D51-1,0),MATCH(P$4,'Baseline NFPC'!$D$10:$W$10,0))</f>
        <v>2.3315903750000002</v>
      </c>
      <c r="Q51" s="277">
        <f ca="1">INDEX(OFFSET('Baseline NFPC'!$D$1:$W$1,$D51-1,0),MATCH(Q$4,'Baseline NFPC'!$D$10:$W$10,0))</f>
        <v>2.35</v>
      </c>
      <c r="R51" s="277">
        <f ca="1">INDEX(OFFSET('Baseline NFPC'!$D$1:$W$1,$D51-1,0),MATCH(R$4,'Baseline NFPC'!$D$10:$W$10,0))</f>
        <v>2.3325</v>
      </c>
      <c r="S51" s="277">
        <f ca="1">INDEX(OFFSET('Baseline NFPC'!$D$1:$W$1,$D51-1,0),MATCH(S$4,'Baseline NFPC'!$D$10:$W$10,0))</f>
        <v>2.3149999999999999</v>
      </c>
      <c r="T51" s="277">
        <f ca="1">INDEX(OFFSET('Baseline NFPC'!$D$1:$W$1,$D51-1,0),MATCH(T$4,'Baseline NFPC'!$D$10:$W$10,0))</f>
        <v>2.2974999999999999</v>
      </c>
      <c r="U51" s="277">
        <f ca="1">INDEX(OFFSET('Baseline NFPC'!$D$1:$W$1,$D51-1,0),MATCH(U$4,'Baseline NFPC'!$D$10:$W$10,0))</f>
        <v>2.2800000000000002</v>
      </c>
      <c r="V51" s="277">
        <f ca="1">INDEX(OFFSET('Baseline NFPC'!$D$1:$W$1,$D51-1,0),MATCH(V$4,'Baseline NFPC'!$D$10:$W$10,0))</f>
        <v>2.2625000000000002</v>
      </c>
      <c r="W51" s="277">
        <f ca="1">INDEX(OFFSET('Baseline NFPC'!$D$1:$W$1,$D51-1,0),MATCH(W$4,'Baseline NFPC'!$D$10:$W$10,0))</f>
        <v>2.2450000000000001</v>
      </c>
      <c r="X51" s="277">
        <f ca="1">INDEX(OFFSET('Baseline NFPC'!$D$1:$W$1,$D51-1,0),MATCH(X$4,'Baseline NFPC'!$D$10:$W$10,0))</f>
        <v>2.2275</v>
      </c>
      <c r="Y51" s="191"/>
    </row>
    <row r="52" spans="1:25" x14ac:dyDescent="0.2">
      <c r="A52" s="191"/>
      <c r="B52" s="284">
        <v>12</v>
      </c>
      <c r="C52" s="280" t="s">
        <v>160</v>
      </c>
      <c r="D52" s="289">
        <v>32</v>
      </c>
      <c r="E52" s="290" t="s">
        <v>157</v>
      </c>
      <c r="F52" s="277">
        <f ca="1">INDEX(OFFSET('Baseline NFPC'!$D$1:$W$1,$D52-1,0),MATCH(F$4,'Baseline NFPC'!$D$10:$W$10,0))</f>
        <v>9.3949002478024966</v>
      </c>
      <c r="G52" s="277">
        <f ca="1">INDEX(OFFSET('Baseline NFPC'!$D$1:$W$1,$D52-1,0),MATCH(G$4,'Baseline NFPC'!$D$10:$W$10,0))</f>
        <v>5.8608732491900017</v>
      </c>
      <c r="H52" s="277">
        <f ca="1">INDEX(OFFSET('Baseline NFPC'!$D$1:$W$1,$D52-1,0),MATCH(H$4,'Baseline NFPC'!$D$10:$W$10,0))</f>
        <v>6.2645065920009957</v>
      </c>
      <c r="I52" s="277">
        <f ca="1">INDEX(OFFSET('Baseline NFPC'!$D$1:$W$1,$D52-1,0),MATCH(I$4,'Baseline NFPC'!$D$10:$W$10,0))</f>
        <v>5.0737702116718575</v>
      </c>
      <c r="J52" s="277">
        <f ca="1">INDEX(OFFSET('Baseline NFPC'!$D$1:$W$1,$D52-1,0),MATCH(J$4,'Baseline NFPC'!$D$10:$W$10,0))</f>
        <v>4.8855775574369487</v>
      </c>
      <c r="K52" s="277">
        <f ca="1">INDEX(OFFSET('Baseline NFPC'!$D$1:$W$1,$D52-1,0),MATCH(K$4,'Baseline NFPC'!$D$10:$W$10,0))</f>
        <v>4.5579066845479632</v>
      </c>
      <c r="L52" s="277">
        <f ca="1">INDEX(OFFSET('Baseline NFPC'!$D$1:$W$1,$D52-1,0),MATCH(L$4,'Baseline NFPC'!$D$10:$W$10,0))</f>
        <v>4.5683271364829858</v>
      </c>
      <c r="M52" s="277">
        <f ca="1">INDEX(OFFSET('Baseline NFPC'!$D$1:$W$1,$D52-1,0),MATCH(M$4,'Baseline NFPC'!$D$10:$W$10,0))</f>
        <v>3.9947966527596135</v>
      </c>
      <c r="N52" s="277">
        <f ca="1">INDEX(OFFSET('Baseline NFPC'!$D$1:$W$1,$D52-1,0),MATCH(N$4,'Baseline NFPC'!$D$10:$W$10,0))</f>
        <v>3.9578263206692554</v>
      </c>
      <c r="O52" s="277">
        <f ca="1">INDEX(OFFSET('Baseline NFPC'!$D$1:$W$1,$D52-1,0),MATCH(O$4,'Baseline NFPC'!$D$10:$W$10,0))</f>
        <v>3.9239431954785964</v>
      </c>
      <c r="P52" s="277">
        <f ca="1">INDEX(OFFSET('Baseline NFPC'!$D$1:$W$1,$D52-1,0),MATCH(P$4,'Baseline NFPC'!$D$10:$W$10,0))</f>
        <v>3.9391265380440021</v>
      </c>
      <c r="Q52" s="277">
        <f ca="1">INDEX(OFFSET('Baseline NFPC'!$D$1:$W$1,$D52-1,0),MATCH(Q$4,'Baseline NFPC'!$D$10:$W$10,0))</f>
        <v>4.0095438400000072</v>
      </c>
      <c r="R52" s="277">
        <f ca="1">INDEX(OFFSET('Baseline NFPC'!$D$1:$W$1,$D52-1,0),MATCH(R$4,'Baseline NFPC'!$D$10:$W$10,0))</f>
        <v>3.9335697352000043</v>
      </c>
      <c r="S52" s="277">
        <f ca="1">INDEX(OFFSET('Baseline NFPC'!$D$1:$W$1,$D52-1,0),MATCH(S$4,'Baseline NFPC'!$D$10:$W$10,0))</f>
        <v>3.8576175791000145</v>
      </c>
      <c r="T52" s="277">
        <f ca="1">INDEX(OFFSET('Baseline NFPC'!$D$1:$W$1,$D52-1,0),MATCH(T$4,'Baseline NFPC'!$D$10:$W$10,0))</f>
        <v>3.7816822557749985</v>
      </c>
      <c r="U52" s="277">
        <f ca="1">INDEX(OFFSET('Baseline NFPC'!$D$1:$W$1,$D52-1,0),MATCH(U$4,'Baseline NFPC'!$D$10:$W$10,0))</f>
        <v>3.6824694968000005</v>
      </c>
      <c r="V52" s="277">
        <f ca="1">INDEX(OFFSET('Baseline NFPC'!$D$1:$W$1,$D52-1,0),MATCH(V$4,'Baseline NFPC'!$D$10:$W$10,0))</f>
        <v>3.5694321346249946</v>
      </c>
      <c r="W52" s="277">
        <f ca="1">INDEX(OFFSET('Baseline NFPC'!$D$1:$W$1,$D52-1,0),MATCH(W$4,'Baseline NFPC'!$D$10:$W$10,0))</f>
        <v>3.4385774565000027</v>
      </c>
      <c r="X52" s="277">
        <f ca="1">INDEX(OFFSET('Baseline NFPC'!$D$1:$W$1,$D52-1,0),MATCH(X$4,'Baseline NFPC'!$D$10:$W$10,0))</f>
        <v>3.3478898876750041</v>
      </c>
      <c r="Y52" s="191"/>
    </row>
    <row r="53" spans="1:25" x14ac:dyDescent="0.2">
      <c r="A53" s="191"/>
      <c r="B53" s="284">
        <v>13</v>
      </c>
      <c r="C53" s="280" t="s">
        <v>46</v>
      </c>
      <c r="D53" s="279"/>
      <c r="E53" s="290" t="s">
        <v>154</v>
      </c>
      <c r="F53" s="296">
        <f>'Input data'!$C$49</f>
        <v>0.75</v>
      </c>
      <c r="G53" s="191"/>
      <c r="H53" s="191"/>
      <c r="I53" s="191"/>
      <c r="J53" s="191"/>
      <c r="K53" s="191"/>
      <c r="L53" s="191"/>
      <c r="M53" s="191"/>
      <c r="N53" s="191"/>
      <c r="O53" s="191"/>
      <c r="P53" s="191"/>
      <c r="Q53" s="191"/>
      <c r="R53" s="191"/>
      <c r="S53" s="191"/>
      <c r="T53" s="191"/>
      <c r="U53" s="191"/>
      <c r="V53" s="191"/>
      <c r="W53" s="191"/>
      <c r="X53" s="191"/>
      <c r="Y53" s="191"/>
    </row>
    <row r="54" spans="1:25" x14ac:dyDescent="0.2">
      <c r="A54" s="191"/>
      <c r="B54" s="278"/>
      <c r="C54" s="299"/>
      <c r="D54" s="299"/>
      <c r="E54" s="299"/>
      <c r="F54" s="299"/>
      <c r="G54" s="299"/>
      <c r="H54" s="299"/>
      <c r="I54" s="299"/>
      <c r="J54" s="299"/>
      <c r="K54" s="191"/>
      <c r="L54" s="191"/>
      <c r="M54" s="191"/>
      <c r="N54" s="191"/>
      <c r="O54" s="191"/>
      <c r="P54" s="191"/>
      <c r="Q54" s="191"/>
      <c r="R54" s="191"/>
      <c r="S54" s="191"/>
      <c r="T54" s="191"/>
      <c r="U54" s="191"/>
      <c r="V54" s="191"/>
      <c r="W54" s="191"/>
      <c r="X54" s="191"/>
      <c r="Y54" s="191"/>
    </row>
    <row r="55" spans="1:25" x14ac:dyDescent="0.2">
      <c r="A55" s="191"/>
      <c r="B55" s="300"/>
      <c r="C55" s="282" t="s">
        <v>166</v>
      </c>
      <c r="D55" s="283"/>
      <c r="E55" s="283"/>
      <c r="F55" s="283"/>
      <c r="G55" s="299"/>
      <c r="H55" s="299"/>
      <c r="I55" s="299"/>
      <c r="J55" s="299"/>
      <c r="K55" s="191"/>
      <c r="L55" s="191"/>
      <c r="M55" s="191"/>
      <c r="N55" s="191"/>
      <c r="O55" s="191"/>
      <c r="P55" s="191"/>
      <c r="Q55" s="191"/>
      <c r="R55" s="191"/>
      <c r="S55" s="191"/>
      <c r="T55" s="191"/>
      <c r="U55" s="191"/>
      <c r="V55" s="191"/>
      <c r="W55" s="191"/>
      <c r="X55" s="191"/>
      <c r="Y55" s="191"/>
    </row>
    <row r="56" spans="1:25" x14ac:dyDescent="0.2">
      <c r="A56" s="191"/>
      <c r="B56" s="278"/>
      <c r="C56" s="299"/>
      <c r="D56" s="299"/>
      <c r="E56" s="299"/>
      <c r="F56" s="299"/>
      <c r="G56" s="299"/>
      <c r="H56" s="299"/>
      <c r="I56" s="299"/>
      <c r="J56" s="299"/>
      <c r="K56" s="191"/>
      <c r="L56" s="191"/>
      <c r="M56" s="191"/>
      <c r="N56" s="191"/>
      <c r="O56" s="191"/>
      <c r="P56" s="191"/>
      <c r="Q56" s="191"/>
      <c r="R56" s="191"/>
      <c r="S56" s="191"/>
      <c r="T56" s="191"/>
      <c r="U56" s="191"/>
      <c r="V56" s="191"/>
      <c r="W56" s="191"/>
      <c r="X56" s="191"/>
      <c r="Y56" s="191"/>
    </row>
    <row r="57" spans="1:25" x14ac:dyDescent="0.2">
      <c r="A57" s="191"/>
      <c r="B57" s="284"/>
      <c r="C57" s="282"/>
      <c r="D57" s="282"/>
      <c r="E57" s="287"/>
      <c r="F57" s="287">
        <f>'Input data'!$C$5-1</f>
        <v>2023</v>
      </c>
      <c r="G57" s="287">
        <f>F57+1</f>
        <v>2024</v>
      </c>
      <c r="H57" s="287">
        <f t="shared" ref="H57:X57" si="2">G57+1</f>
        <v>2025</v>
      </c>
      <c r="I57" s="287">
        <f t="shared" si="2"/>
        <v>2026</v>
      </c>
      <c r="J57" s="287">
        <f t="shared" si="2"/>
        <v>2027</v>
      </c>
      <c r="K57" s="287">
        <f t="shared" si="2"/>
        <v>2028</v>
      </c>
      <c r="L57" s="287">
        <f t="shared" si="2"/>
        <v>2029</v>
      </c>
      <c r="M57" s="287">
        <f t="shared" si="2"/>
        <v>2030</v>
      </c>
      <c r="N57" s="287">
        <f t="shared" si="2"/>
        <v>2031</v>
      </c>
      <c r="O57" s="287">
        <f t="shared" si="2"/>
        <v>2032</v>
      </c>
      <c r="P57" s="287">
        <f t="shared" si="2"/>
        <v>2033</v>
      </c>
      <c r="Q57" s="287">
        <f t="shared" si="2"/>
        <v>2034</v>
      </c>
      <c r="R57" s="287">
        <f t="shared" si="2"/>
        <v>2035</v>
      </c>
      <c r="S57" s="287">
        <f t="shared" si="2"/>
        <v>2036</v>
      </c>
      <c r="T57" s="287">
        <f t="shared" si="2"/>
        <v>2037</v>
      </c>
      <c r="U57" s="287">
        <f t="shared" si="2"/>
        <v>2038</v>
      </c>
      <c r="V57" s="287">
        <f t="shared" si="2"/>
        <v>2039</v>
      </c>
      <c r="W57" s="287">
        <f t="shared" si="2"/>
        <v>2040</v>
      </c>
      <c r="X57" s="287">
        <f t="shared" si="2"/>
        <v>2041</v>
      </c>
      <c r="Y57" s="191"/>
    </row>
    <row r="58" spans="1:25" x14ac:dyDescent="0.2">
      <c r="A58" s="191"/>
      <c r="B58" s="284">
        <v>1</v>
      </c>
      <c r="C58" s="288" t="s">
        <v>147</v>
      </c>
      <c r="D58" s="289">
        <v>92</v>
      </c>
      <c r="E58" s="290" t="s">
        <v>148</v>
      </c>
      <c r="F58" s="277">
        <f ca="1">INDEX(OFFSET('Adjust. no safeguard'!$D$1:$W$1,$D58-1,0),MATCH(F$4,'Adjust. no safeguard'!$D$10:$W$10,0))</f>
        <v>37.344895037084065</v>
      </c>
      <c r="G58" s="277">
        <f ca="1">INDEX(OFFSET('Adjust. no safeguard'!$D$1:$W$1,$D58-1,0),MATCH(G$4,'Adjust. no safeguard'!$D$10:$W$10,0))</f>
        <v>38.25865969882279</v>
      </c>
      <c r="H58" s="277">
        <f ca="1">INDEX(OFFSET('Adjust. no safeguard'!$D$1:$W$1,$D58-1,0),MATCH(H$4,'Adjust. no safeguard'!$D$10:$W$10,0))</f>
        <v>40.74877946072607</v>
      </c>
      <c r="I58" s="277">
        <f ca="1">INDEX(OFFSET('Adjust. no safeguard'!$D$1:$W$1,$D58-1,0),MATCH(I$4,'Adjust. no safeguard'!$D$10:$W$10,0))</f>
        <v>43.648668912354282</v>
      </c>
      <c r="J58" s="277">
        <f ca="1">INDEX(OFFSET('Adjust. no safeguard'!$D$1:$W$1,$D58-1,0),MATCH(J$4,'Adjust. no safeguard'!$D$10:$W$10,0))</f>
        <v>43.220346968472079</v>
      </c>
      <c r="K58" s="277">
        <f ca="1">INDEX(OFFSET('Adjust. no safeguard'!$D$1:$W$1,$D58-1,0),MATCH(K$4,'Adjust. no safeguard'!$D$10:$W$10,0))</f>
        <v>42.742241902433307</v>
      </c>
      <c r="L58" s="277">
        <f ca="1">INDEX(OFFSET('Adjust. no safeguard'!$D$1:$W$1,$D58-1,0),MATCH(L$4,'Adjust. no safeguard'!$D$10:$W$10,0))</f>
        <v>42.335642472219149</v>
      </c>
      <c r="M58" s="277">
        <f ca="1">INDEX(OFFSET('Adjust. no safeguard'!$D$1:$W$1,$D58-1,0),MATCH(M$4,'Adjust. no safeguard'!$D$10:$W$10,0))</f>
        <v>42.060487915245872</v>
      </c>
      <c r="N58" s="277">
        <f ca="1">INDEX(OFFSET('Adjust. no safeguard'!$D$1:$W$1,$D58-1,0),MATCH(N$4,'Adjust. no safeguard'!$D$10:$W$10,0))</f>
        <v>41.901081795148507</v>
      </c>
      <c r="O58" s="277">
        <f ca="1">INDEX(OFFSET('Adjust. no safeguard'!$D$1:$W$1,$D58-1,0),MATCH(O$4,'Adjust. no safeguard'!$D$10:$W$10,0))</f>
        <v>42.102626706619006</v>
      </c>
      <c r="P58" s="277">
        <f ca="1">INDEX(OFFSET('Adjust. no safeguard'!$D$1:$W$1,$D58-1,0),MATCH(P$4,'Adjust. no safeguard'!$D$10:$W$10,0))</f>
        <v>42.518341842453516</v>
      </c>
      <c r="Q58" s="277">
        <f ca="1">INDEX(OFFSET('Adjust. no safeguard'!$D$1:$W$1,$D58-1,0),MATCH(Q$4,'Adjust. no safeguard'!$D$10:$W$10,0))</f>
        <v>43.099861758809325</v>
      </c>
      <c r="R58" s="277">
        <f ca="1">INDEX(OFFSET('Adjust. no safeguard'!$D$1:$W$1,$D58-1,0),MATCH(R$4,'Adjust. no safeguard'!$D$10:$W$10,0))</f>
        <v>43.906427392589912</v>
      </c>
      <c r="S58" s="277">
        <f ca="1">INDEX(OFFSET('Adjust. no safeguard'!$D$1:$W$1,$D58-1,0),MATCH(S$4,'Adjust. no safeguard'!$D$10:$W$10,0))</f>
        <v>44.914602509297936</v>
      </c>
      <c r="T58" s="277">
        <f ca="1">INDEX(OFFSET('Adjust. no safeguard'!$D$1:$W$1,$D58-1,0),MATCH(T$4,'Adjust. no safeguard'!$D$10:$W$10,0))</f>
        <v>46.083537968625073</v>
      </c>
      <c r="U58" s="277">
        <f ca="1">INDEX(OFFSET('Adjust. no safeguard'!$D$1:$W$1,$D58-1,0),MATCH(U$4,'Adjust. no safeguard'!$D$10:$W$10,0))</f>
        <v>47.418746060084615</v>
      </c>
      <c r="V58" s="277">
        <f ca="1">INDEX(OFFSET('Adjust. no safeguard'!$D$1:$W$1,$D58-1,0),MATCH(V$4,'Adjust. no safeguard'!$D$10:$W$10,0))</f>
        <v>48.926936161571305</v>
      </c>
      <c r="W58" s="277">
        <f ca="1">INDEX(OFFSET('Adjust. no safeguard'!$D$1:$W$1,$D58-1,0),MATCH(W$4,'Adjust. no safeguard'!$D$10:$W$10,0))</f>
        <v>50.602820349699115</v>
      </c>
      <c r="X58" s="277">
        <f ca="1">INDEX(OFFSET('Adjust. no safeguard'!$D$1:$W$1,$D58-1,0),MATCH(X$4,'Adjust. no safeguard'!$D$10:$W$10,0))</f>
        <v>52.44486296323754</v>
      </c>
      <c r="Y58" s="191"/>
    </row>
    <row r="59" spans="1:25" x14ac:dyDescent="0.2">
      <c r="A59" s="191"/>
      <c r="B59" s="284">
        <f>B58+1</f>
        <v>2</v>
      </c>
      <c r="C59" s="291" t="s">
        <v>97</v>
      </c>
      <c r="D59" s="289">
        <v>94</v>
      </c>
      <c r="E59" s="290" t="s">
        <v>148</v>
      </c>
      <c r="F59" s="277">
        <f ca="1">INDEX(OFFSET('Adjust. no safeguard'!$D$1:$W$1,$D59-1,0),MATCH(F$4,'Adjust. no safeguard'!$D$10:$W$10,0))</f>
        <v>2.3390136891588988</v>
      </c>
      <c r="G59" s="277">
        <f ca="1">INDEX(OFFSET('Adjust. no safeguard'!$D$1:$W$1,$D59-1,0),MATCH(G$4,'Adjust. no safeguard'!$D$10:$W$10,0))</f>
        <v>3.5725505459972733</v>
      </c>
      <c r="H59" s="277">
        <f ca="1">INDEX(OFFSET('Adjust. no safeguard'!$D$1:$W$1,$D59-1,0),MATCH(H$4,'Adjust. no safeguard'!$D$10:$W$10,0))</f>
        <v>3.5947303883005857</v>
      </c>
      <c r="I59" s="277">
        <f ca="1">INDEX(OFFSET('Adjust. no safeguard'!$D$1:$W$1,$D59-1,0),MATCH(I$4,'Adjust. no safeguard'!$D$10:$W$10,0))</f>
        <v>3.8104061173500785</v>
      </c>
      <c r="J59" s="277">
        <f ca="1">INDEX(OFFSET('Adjust. no safeguard'!$D$1:$W$1,$D59-1,0),MATCH(J$4,'Adjust. no safeguard'!$D$10:$W$10,0))</f>
        <v>4.0235456318238407</v>
      </c>
      <c r="K59" s="277">
        <f ca="1">INDEX(OFFSET('Adjust. no safeguard'!$D$1:$W$1,$D59-1,0),MATCH(K$4,'Adjust. no safeguard'!$D$10:$W$10,0))</f>
        <v>3.9388141610844798</v>
      </c>
      <c r="L59" s="277">
        <f ca="1">INDEX(OFFSET('Adjust. no safeguard'!$D$1:$W$1,$D59-1,0),MATCH(L$4,'Adjust. no safeguard'!$D$10:$W$10,0))</f>
        <v>3.8313348834361203</v>
      </c>
      <c r="M59" s="277">
        <f ca="1">INDEX(OFFSET('Adjust. no safeguard'!$D$1:$W$1,$D59-1,0),MATCH(M$4,'Adjust. no safeguard'!$D$10:$W$10,0))</f>
        <v>3.7364698970559931</v>
      </c>
      <c r="N59" s="277">
        <f ca="1">INDEX(OFFSET('Adjust. no safeguard'!$D$1:$W$1,$D59-1,0),MATCH(N$4,'Adjust. no safeguard'!$D$10:$W$10,0))</f>
        <v>3.6520289688780787</v>
      </c>
      <c r="O59" s="277">
        <f ca="1">INDEX(OFFSET('Adjust. no safeguard'!$D$1:$W$1,$D59-1,0),MATCH(O$4,'Adjust. no safeguard'!$D$10:$W$10,0))</f>
        <v>3.5887236282472146</v>
      </c>
      <c r="P59" s="277">
        <f ca="1">INDEX(OFFSET('Adjust. no safeguard'!$D$1:$W$1,$D59-1,0),MATCH(P$4,'Adjust. no safeguard'!$D$10:$W$10,0))</f>
        <v>3.5436810284457594</v>
      </c>
      <c r="Q59" s="277">
        <f ca="1">INDEX(OFFSET('Adjust. no safeguard'!$D$1:$W$1,$D59-1,0),MATCH(Q$4,'Adjust. no safeguard'!$D$10:$W$10,0))</f>
        <v>3.5138938171336611</v>
      </c>
      <c r="R59" s="277">
        <f ca="1">INDEX(OFFSET('Adjust. no safeguard'!$D$1:$W$1,$D59-1,0),MATCH(R$4,'Adjust. no safeguard'!$D$10:$W$10,0))</f>
        <v>3.5642677465571011</v>
      </c>
      <c r="S59" s="277">
        <f ca="1">INDEX(OFFSET('Adjust. no safeguard'!$D$1:$W$1,$D59-1,0),MATCH(S$4,'Adjust. no safeguard'!$D$10:$W$10,0))</f>
        <v>3.6333231965163275</v>
      </c>
      <c r="T59" s="277">
        <f ca="1">INDEX(OFFSET('Adjust. no safeguard'!$D$1:$W$1,$D59-1,0),MATCH(T$4,'Adjust. no safeguard'!$D$10:$W$10,0))</f>
        <v>3.7191625154399848</v>
      </c>
      <c r="U59" s="277">
        <f ca="1">INDEX(OFFSET('Adjust. no safeguard'!$D$1:$W$1,$D59-1,0),MATCH(U$4,'Adjust. no safeguard'!$D$10:$W$10,0))</f>
        <v>3.819299222854732</v>
      </c>
      <c r="V59" s="277">
        <f ca="1">INDEX(OFFSET('Adjust. no safeguard'!$D$1:$W$1,$D59-1,0),MATCH(V$4,'Adjust. no safeguard'!$D$10:$W$10,0))</f>
        <v>3.9339400552924317</v>
      </c>
      <c r="W59" s="277">
        <f ca="1">INDEX(OFFSET('Adjust. no safeguard'!$D$1:$W$1,$D59-1,0),MATCH(W$4,'Adjust. no safeguard'!$D$10:$W$10,0))</f>
        <v>4.0638919257382087</v>
      </c>
      <c r="X59" s="277">
        <f ca="1">INDEX(OFFSET('Adjust. no safeguard'!$D$1:$W$1,$D59-1,0),MATCH(X$4,'Adjust. no safeguard'!$D$10:$W$10,0))</f>
        <v>4.2064795221457025</v>
      </c>
      <c r="Y59" s="191"/>
    </row>
    <row r="60" spans="1:25" x14ac:dyDescent="0.2">
      <c r="A60" s="191"/>
      <c r="B60" s="284">
        <f t="shared" ref="B60:B62" si="3">B59+1</f>
        <v>3</v>
      </c>
      <c r="C60" s="291" t="s">
        <v>98</v>
      </c>
      <c r="D60" s="289">
        <v>95</v>
      </c>
      <c r="E60" s="290" t="s">
        <v>148</v>
      </c>
      <c r="F60" s="277">
        <f ca="1">INDEX(OFFSET('Adjust. no safeguard'!$D$1:$W$1,$D60-1,0),MATCH(F$4,'Adjust. no safeguard'!$D$10:$W$10,0))</f>
        <v>0</v>
      </c>
      <c r="G60" s="277">
        <f ca="1">INDEX(OFFSET('Adjust. no safeguard'!$D$1:$W$1,$D60-1,0),MATCH(G$4,'Adjust. no safeguard'!$D$10:$W$10,0))</f>
        <v>0</v>
      </c>
      <c r="H60" s="277">
        <f ca="1">INDEX(OFFSET('Adjust. no safeguard'!$D$1:$W$1,$D60-1,0),MATCH(H$4,'Adjust. no safeguard'!$D$10:$W$10,0))</f>
        <v>7.9571947490387155E-3</v>
      </c>
      <c r="I60" s="277">
        <f ca="1">INDEX(OFFSET('Adjust. no safeguard'!$D$1:$W$1,$D60-1,0),MATCH(I$4,'Adjust. no safeguard'!$D$10:$W$10,0))</f>
        <v>2.0269555171028283E-2</v>
      </c>
      <c r="J60" s="277">
        <f ca="1">INDEX(OFFSET('Adjust. no safeguard'!$D$1:$W$1,$D60-1,0),MATCH(J$4,'Adjust. no safeguard'!$D$10:$W$10,0))</f>
        <v>3.2408168163107098E-2</v>
      </c>
      <c r="K60" s="277">
        <f ca="1">INDEX(OFFSET('Adjust. no safeguard'!$D$1:$W$1,$D60-1,0),MATCH(K$4,'Adjust. no safeguard'!$D$10:$W$10,0))</f>
        <v>3.5352013194648139E-2</v>
      </c>
      <c r="L60" s="277">
        <f ca="1">INDEX(OFFSET('Adjust. no safeguard'!$D$1:$W$1,$D60-1,0),MATCH(L$4,'Adjust. no safeguard'!$D$10:$W$10,0))</f>
        <v>3.7465223631265275E-2</v>
      </c>
      <c r="M60" s="277">
        <f ca="1">INDEX(OFFSET('Adjust. no safeguard'!$D$1:$W$1,$D60-1,0),MATCH(M$4,'Adjust. no safeguard'!$D$10:$W$10,0))</f>
        <v>3.9707675014706414E-2</v>
      </c>
      <c r="N60" s="277">
        <f ca="1">INDEX(OFFSET('Adjust. no safeguard'!$D$1:$W$1,$D60-1,0),MATCH(N$4,'Adjust. no safeguard'!$D$10:$W$10,0))</f>
        <v>4.2082582433422958E-2</v>
      </c>
      <c r="O60" s="277">
        <f ca="1">INDEX(OFFSET('Adjust. no safeguard'!$D$1:$W$1,$D60-1,0),MATCH(O$4,'Adjust. no safeguard'!$D$10:$W$10,0))</f>
        <v>4.4751268802134217E-2</v>
      </c>
      <c r="P60" s="277">
        <f ca="1">INDEX(OFFSET('Adjust. no safeguard'!$D$1:$W$1,$D60-1,0),MATCH(P$4,'Adjust. no safeguard'!$D$10:$W$10,0))</f>
        <v>4.79166427684279E-2</v>
      </c>
      <c r="Q60" s="277">
        <f ca="1">INDEX(OFFSET('Adjust. no safeguard'!$D$1:$W$1,$D60-1,0),MATCH(Q$4,'Adjust. no safeguard'!$D$10:$W$10,0))</f>
        <v>5.1547731323817625E-2</v>
      </c>
      <c r="R60" s="277">
        <f ca="1">INDEX(OFFSET('Adjust. no safeguard'!$D$1:$W$1,$D60-1,0),MATCH(R$4,'Adjust. no safeguard'!$D$10:$W$10,0))</f>
        <v>5.5649437405563502E-2</v>
      </c>
      <c r="S60" s="277">
        <f ca="1">INDEX(OFFSET('Adjust. no safeguard'!$D$1:$W$1,$D60-1,0),MATCH(S$4,'Adjust. no safeguard'!$D$10:$W$10,0))</f>
        <v>6.0231865184324045E-2</v>
      </c>
      <c r="T60" s="277">
        <f ca="1">INDEX(OFFSET('Adjust. no safeguard'!$D$1:$W$1,$D60-1,0),MATCH(T$4,'Adjust. no safeguard'!$D$10:$W$10,0))</f>
        <v>6.5240708860244662E-2</v>
      </c>
      <c r="U60" s="277">
        <f ca="1">INDEX(OFFSET('Adjust. no safeguard'!$D$1:$W$1,$D60-1,0),MATCH(U$4,'Adjust. no safeguard'!$D$10:$W$10,0))</f>
        <v>7.0589184810735159E-2</v>
      </c>
      <c r="V60" s="277">
        <f ca="1">INDEX(OFFSET('Adjust. no safeguard'!$D$1:$W$1,$D60-1,0),MATCH(V$4,'Adjust. no safeguard'!$D$10:$W$10,0))</f>
        <v>7.6285458288883751E-2</v>
      </c>
      <c r="W60" s="277">
        <f ca="1">INDEX(OFFSET('Adjust. no safeguard'!$D$1:$W$1,$D60-1,0),MATCH(W$4,'Adjust. no safeguard'!$D$10:$W$10,0))</f>
        <v>8.2355799368886207E-2</v>
      </c>
      <c r="X60" s="277">
        <f ca="1">INDEX(OFFSET('Adjust. no safeguard'!$D$1:$W$1,$D60-1,0),MATCH(X$4,'Adjust. no safeguard'!$D$10:$W$10,0))</f>
        <v>8.874009903088971E-2</v>
      </c>
      <c r="Y60" s="191"/>
    </row>
    <row r="61" spans="1:25" x14ac:dyDescent="0.2">
      <c r="A61" s="191"/>
      <c r="B61" s="284">
        <f t="shared" si="3"/>
        <v>4</v>
      </c>
      <c r="C61" s="291" t="s">
        <v>99</v>
      </c>
      <c r="D61" s="289">
        <v>96</v>
      </c>
      <c r="E61" s="290" t="s">
        <v>148</v>
      </c>
      <c r="F61" s="277">
        <f ca="1">INDEX(OFFSET('Adjust. no safeguard'!$D$1:$W$1,$D61-1,0),MATCH(F$4,'Adjust. no safeguard'!$D$10:$W$10,0))</f>
        <v>2.5551166604400901</v>
      </c>
      <c r="G61" s="277">
        <f ca="1">INDEX(OFFSET('Adjust. no safeguard'!$D$1:$W$1,$D61-1,0),MATCH(G$4,'Adjust. no safeguard'!$D$10:$W$10,0))</f>
        <v>2.9728787655758793</v>
      </c>
      <c r="H61" s="277">
        <f ca="1">INDEX(OFFSET('Adjust. no safeguard'!$D$1:$W$1,$D61-1,0),MATCH(H$4,'Adjust. no safeguard'!$D$10:$W$10,0))</f>
        <v>4.690105960965262</v>
      </c>
      <c r="I61" s="277">
        <f ca="1">INDEX(OFFSET('Adjust. no safeguard'!$D$1:$W$1,$D61-1,0),MATCH(I$4,'Adjust. no safeguard'!$D$10:$W$10,0))</f>
        <v>4.8238851587421454</v>
      </c>
      <c r="J61" s="277">
        <f ca="1">INDEX(OFFSET('Adjust. no safeguard'!$D$1:$W$1,$D61-1,0),MATCH(J$4,'Adjust. no safeguard'!$D$10:$W$10,0))</f>
        <v>1.5788756162788717</v>
      </c>
      <c r="K61" s="277">
        <f ca="1">INDEX(OFFSET('Adjust. no safeguard'!$D$1:$W$1,$D61-1,0),MATCH(K$4,'Adjust. no safeguard'!$D$10:$W$10,0))</f>
        <v>1.3241615704931566</v>
      </c>
      <c r="L61" s="277">
        <f ca="1">INDEX(OFFSET('Adjust. no safeguard'!$D$1:$W$1,$D61-1,0),MATCH(L$4,'Adjust. no safeguard'!$D$10:$W$10,0))</f>
        <v>1.3910489544499254</v>
      </c>
      <c r="M61" s="277">
        <f ca="1">INDEX(OFFSET('Adjust. no safeguard'!$D$1:$W$1,$D61-1,0),MATCH(M$4,'Adjust. no safeguard'!$D$10:$W$10,0))</f>
        <v>1.4680323202749523</v>
      </c>
      <c r="N61" s="277">
        <f ca="1">INDEX(OFFSET('Adjust. no safeguard'!$D$1:$W$1,$D61-1,0),MATCH(N$4,'Adjust. no safeguard'!$D$10:$W$10,0))</f>
        <v>1.5574732609851714</v>
      </c>
      <c r="O61" s="277">
        <f ca="1">INDEX(OFFSET('Adjust. no safeguard'!$D$1:$W$1,$D61-1,0),MATCH(O$4,'Adjust. no safeguard'!$D$10:$W$10,0))</f>
        <v>1.7785862116626783</v>
      </c>
      <c r="P61" s="277">
        <f ca="1">INDEX(OFFSET('Adjust. no safeguard'!$D$1:$W$1,$D61-1,0),MATCH(P$4,'Adjust. no safeguard'!$D$10:$W$10,0))</f>
        <v>2.0056393840335405</v>
      </c>
      <c r="Q61" s="277">
        <f ca="1">INDEX(OFFSET('Adjust. no safeguard'!$D$1:$W$1,$D61-1,0),MATCH(Q$4,'Adjust. no safeguard'!$D$10:$W$10,0))</f>
        <v>2.214301437175815</v>
      </c>
      <c r="R61" s="277">
        <f ca="1">INDEX(OFFSET('Adjust. no safeguard'!$D$1:$W$1,$D61-1,0),MATCH(R$4,'Adjust. no safeguard'!$D$10:$W$10,0))</f>
        <v>2.4308584676402436</v>
      </c>
      <c r="S61" s="277">
        <f ca="1">INDEX(OFFSET('Adjust. no safeguard'!$D$1:$W$1,$D61-1,0),MATCH(S$4,'Adjust. no safeguard'!$D$10:$W$10,0))</f>
        <v>2.6315299208446392</v>
      </c>
      <c r="T61" s="277">
        <f ca="1">INDEX(OFFSET('Adjust. no safeguard'!$D$1:$W$1,$D61-1,0),MATCH(T$4,'Adjust. no safeguard'!$D$10:$W$10,0))</f>
        <v>2.7976227681949641</v>
      </c>
      <c r="U61" s="277">
        <f ca="1">INDEX(OFFSET('Adjust. no safeguard'!$D$1:$W$1,$D61-1,0),MATCH(U$4,'Adjust. no safeguard'!$D$10:$W$10,0))</f>
        <v>2.9635286457206491</v>
      </c>
      <c r="V61" s="277">
        <f ca="1">INDEX(OFFSET('Adjust. no safeguard'!$D$1:$W$1,$D61-1,0),MATCH(V$4,'Adjust. no safeguard'!$D$10:$W$10,0))</f>
        <v>3.1335345276062507</v>
      </c>
      <c r="W61" s="277">
        <f ca="1">INDEX(OFFSET('Adjust. no safeguard'!$D$1:$W$1,$D61-1,0),MATCH(W$4,'Adjust. no safeguard'!$D$10:$W$10,0))</f>
        <v>3.29299236108749</v>
      </c>
      <c r="X61" s="277">
        <f ca="1">INDEX(OFFSET('Adjust. no safeguard'!$D$1:$W$1,$D61-1,0),MATCH(X$4,'Adjust. no safeguard'!$D$10:$W$10,0))</f>
        <v>3.4714270058474095</v>
      </c>
      <c r="Y61" s="191"/>
    </row>
    <row r="62" spans="1:25" x14ac:dyDescent="0.2">
      <c r="A62" s="191"/>
      <c r="B62" s="284">
        <f t="shared" si="3"/>
        <v>5</v>
      </c>
      <c r="C62" s="291" t="s">
        <v>100</v>
      </c>
      <c r="D62" s="289">
        <v>97</v>
      </c>
      <c r="E62" s="290" t="s">
        <v>148</v>
      </c>
      <c r="F62" s="277">
        <f ca="1">INDEX(OFFSET('Adjust. no safeguard'!$D$1:$W$1,$D62-1,0),MATCH(F$4,'Adjust. no safeguard'!$D$10:$W$10,0))</f>
        <v>0</v>
      </c>
      <c r="G62" s="277">
        <f ca="1">INDEX(OFFSET('Adjust. no safeguard'!$D$1:$W$1,$D62-1,0),MATCH(G$4,'Adjust. no safeguard'!$D$10:$W$10,0))</f>
        <v>8.4457943458021312E-3</v>
      </c>
      <c r="H62" s="277">
        <f ca="1">INDEX(OFFSET('Adjust. no safeguard'!$D$1:$W$1,$D62-1,0),MATCH(H$4,'Adjust. no safeguard'!$D$10:$W$10,0))</f>
        <v>1.3324347721478669E-2</v>
      </c>
      <c r="I62" s="277">
        <f ca="1">INDEX(OFFSET('Adjust. no safeguard'!$D$1:$W$1,$D62-1,0),MATCH(I$4,'Adjust. no safeguard'!$D$10:$W$10,0))</f>
        <v>1.3704407482156827E-2</v>
      </c>
      <c r="J62" s="277">
        <f ca="1">INDEX(OFFSET('Adjust. no safeguard'!$D$1:$W$1,$D62-1,0),MATCH(J$4,'Adjust. no safeguard'!$D$10:$W$10,0))</f>
        <v>4.4855037168358407E-3</v>
      </c>
      <c r="K62" s="277">
        <f ca="1">INDEX(OFFSET('Adjust. no safeguard'!$D$1:$W$1,$D62-1,0),MATCH(K$4,'Adjust. no safeguard'!$D$10:$W$10,0))</f>
        <v>3.7618743268305419E-3</v>
      </c>
      <c r="L62" s="277">
        <f ca="1">INDEX(OFFSET('Adjust. no safeguard'!$D$1:$W$1,$D62-1,0),MATCH(L$4,'Adjust. no safeguard'!$D$10:$W$10,0))</f>
        <v>3.9518979146636445E-3</v>
      </c>
      <c r="M62" s="277">
        <f ca="1">INDEX(OFFSET('Adjust. no safeguard'!$D$1:$W$1,$D62-1,0),MATCH(M$4,'Adjust. no safeguard'!$D$10:$W$10,0))</f>
        <v>4.1706036632244616E-3</v>
      </c>
      <c r="N62" s="277">
        <f ca="1">INDEX(OFFSET('Adjust. no safeguard'!$D$1:$W$1,$D62-1,0),MATCH(N$4,'Adjust. no safeguard'!$D$10:$W$10,0))</f>
        <v>4.4247007357592245E-3</v>
      </c>
      <c r="O62" s="277">
        <f ca="1">INDEX(OFFSET('Adjust. no safeguard'!$D$1:$W$1,$D62-1,0),MATCH(O$4,'Adjust. no safeguard'!$D$10:$W$10,0))</f>
        <v>5.0528711577219124E-3</v>
      </c>
      <c r="P62" s="277">
        <f ca="1">INDEX(OFFSET('Adjust. no safeguard'!$D$1:$W$1,$D62-1,0),MATCH(P$4,'Adjust. no safeguard'!$D$10:$W$10,0))</f>
        <v>5.6979174413482126E-3</v>
      </c>
      <c r="Q62" s="277">
        <f ca="1">INDEX(OFFSET('Adjust. no safeguard'!$D$1:$W$1,$D62-1,0),MATCH(Q$4,'Adjust. no safeguard'!$D$10:$W$10,0))</f>
        <v>6.2907155093417811E-3</v>
      </c>
      <c r="R62" s="277">
        <f ca="1">INDEX(OFFSET('Adjust. no safeguard'!$D$1:$W$1,$D62-1,0),MATCH(R$4,'Adjust. no safeguard'!$D$10:$W$10,0))</f>
        <v>6.90594279833144E-3</v>
      </c>
      <c r="S62" s="277">
        <f ca="1">INDEX(OFFSET('Adjust. no safeguard'!$D$1:$W$1,$D62-1,0),MATCH(S$4,'Adjust. no safeguard'!$D$10:$W$10,0))</f>
        <v>7.476039986438361E-3</v>
      </c>
      <c r="T62" s="277">
        <f ca="1">INDEX(OFFSET('Adjust. no safeguard'!$D$1:$W$1,$D62-1,0),MATCH(T$4,'Adjust. no safeguard'!$D$10:$W$10,0))</f>
        <v>7.9479011491850413E-3</v>
      </c>
      <c r="U62" s="277">
        <f ca="1">INDEX(OFFSET('Adjust. no safeguard'!$D$1:$W$1,$D62-1,0),MATCH(U$4,'Adjust. no safeguard'!$D$10:$W$10,0))</f>
        <v>8.4192311403595531E-3</v>
      </c>
      <c r="V62" s="277">
        <f ca="1">INDEX(OFFSET('Adjust. no safeguard'!$D$1:$W$1,$D62-1,0),MATCH(V$4,'Adjust. no safeguard'!$D$10:$W$10,0))</f>
        <v>8.9022090312202914E-3</v>
      </c>
      <c r="W62" s="277">
        <f ca="1">INDEX(OFFSET('Adjust. no safeguard'!$D$1:$W$1,$D62-1,0),MATCH(W$4,'Adjust. no safeguard'!$D$10:$W$10,0))</f>
        <v>9.355220463776584E-3</v>
      </c>
      <c r="X62" s="277">
        <f ca="1">INDEX(OFFSET('Adjust. no safeguard'!$D$1:$W$1,$D62-1,0),MATCH(X$4,'Adjust. no safeguard'!$D$10:$W$10,0))</f>
        <v>9.8621440326953497E-3</v>
      </c>
      <c r="Y62" s="191"/>
    </row>
    <row r="63" spans="1:25" x14ac:dyDescent="0.2">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453C3D5C-4594-4EBA-A371-1F9FAC65D259}">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5379F7-D4E7-4A0C-87B7-761C7833B493}">
  <ds:schemaRefs>
    <ds:schemaRef ds:uri="http://schemas.microsoft.com/sharepoint/v3/contenttype/forms"/>
  </ds:schemaRefs>
</ds:datastoreItem>
</file>

<file path=customXml/itemProps2.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Criteria results</vt:lpstr>
      <vt:lpstr>Input data</vt:lpstr>
      <vt:lpstr>Baseline NFPC</vt:lpstr>
      <vt:lpstr>Adjustment scenario</vt:lpstr>
      <vt:lpstr>Adjust. no safeguard</vt:lpstr>
      <vt:lpstr>FASTOP reporting</vt:lpstr>
      <vt:lpstr>FASTOP rep. no safeguard</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COURTOY Francois (ECFIN)</cp:lastModifiedBy>
  <cp:revision/>
  <dcterms:created xsi:type="dcterms:W3CDTF">2013-04-12T08:50:12Z</dcterms:created>
  <dcterms:modified xsi:type="dcterms:W3CDTF">2025-01-08T10:30:53Z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